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caPost-Bruggeman\Documents\"/>
    </mc:Choice>
  </mc:AlternateContent>
  <xr:revisionPtr revIDLastSave="38" documentId="8_{5A0B170D-7621-404A-B0B7-5CF9C8E5A255}" xr6:coauthVersionLast="47" xr6:coauthVersionMax="47" xr10:uidLastSave="{DC0AF381-051F-4E5C-BDC5-381B24B33C89}"/>
  <bookViews>
    <workbookView xWindow="-108" yWindow="-108" windowWidth="23256" windowHeight="12576" xr2:uid="{00000000-000D-0000-FFFF-FFFF00000000}"/>
  </bookViews>
  <sheets>
    <sheet name="Versie 2023" sheetId="3" r:id="rId1"/>
  </sheets>
  <definedNames>
    <definedName name="_xlnm.Print_Area" localSheetId="0">'Versie 2023'!$A$1:$K$173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3" l="1"/>
  <c r="A41" i="3"/>
  <c r="I17" i="3" l="1"/>
  <c r="F19" i="3" s="1"/>
  <c r="H100" i="3"/>
  <c r="J100" i="3" s="1"/>
  <c r="J66" i="3"/>
  <c r="G8" i="3"/>
  <c r="H122" i="3"/>
  <c r="H124" i="3" s="1"/>
  <c r="J124" i="3" s="1"/>
  <c r="H117" i="3"/>
  <c r="J119" i="3" s="1"/>
  <c r="G70" i="3"/>
  <c r="J70" i="3" s="1"/>
  <c r="H118" i="3" s="1"/>
  <c r="J71" i="3"/>
  <c r="H36" i="3"/>
  <c r="K36" i="3" s="1"/>
  <c r="J77" i="3" s="1"/>
  <c r="H157" i="3" s="1"/>
  <c r="J157" i="3" s="1"/>
  <c r="G18" i="3"/>
  <c r="E36" i="3"/>
  <c r="J24" i="3"/>
  <c r="H29" i="3"/>
  <c r="K29" i="3" s="1"/>
  <c r="J152" i="3" s="1"/>
  <c r="H27" i="3"/>
  <c r="K27" i="3" s="1"/>
  <c r="G127" i="3"/>
  <c r="N44" i="3"/>
  <c r="N51" i="3"/>
  <c r="N43" i="3"/>
  <c r="B117" i="3"/>
  <c r="B114" i="3"/>
  <c r="B169" i="3"/>
  <c r="B168" i="3"/>
  <c r="A153" i="3"/>
  <c r="J135" i="3"/>
  <c r="J134" i="3"/>
  <c r="B127" i="3"/>
  <c r="B122" i="3"/>
  <c r="E106" i="3"/>
  <c r="H99" i="3"/>
  <c r="B98" i="3"/>
  <c r="B97" i="3"/>
  <c r="A96" i="3"/>
  <c r="A78" i="3"/>
  <c r="A77" i="3"/>
  <c r="A76" i="3"/>
  <c r="C66" i="3"/>
  <c r="G63" i="3"/>
  <c r="J61" i="3"/>
  <c r="J63" i="3" s="1"/>
  <c r="H82" i="3"/>
  <c r="J57" i="3"/>
  <c r="H169" i="3"/>
  <c r="J169" i="3" s="1"/>
  <c r="J56" i="3"/>
  <c r="H168" i="3" s="1"/>
  <c r="J168" i="3" s="1"/>
  <c r="J55" i="3"/>
  <c r="H167" i="3" s="1"/>
  <c r="J167" i="3" s="1"/>
  <c r="N87" i="3"/>
  <c r="H153" i="3" s="1"/>
  <c r="J153" i="3" s="1"/>
  <c r="J54" i="3"/>
  <c r="H166" i="3" s="1"/>
  <c r="J166" i="3" s="1"/>
  <c r="J49" i="3"/>
  <c r="K49" i="3" s="1"/>
  <c r="H165" i="3" s="1"/>
  <c r="J165" i="3" s="1"/>
  <c r="G46" i="3"/>
  <c r="J46" i="3" s="1"/>
  <c r="G45" i="3"/>
  <c r="J45" i="3" s="1"/>
  <c r="G44" i="3"/>
  <c r="J44" i="3" s="1"/>
  <c r="K42" i="3"/>
  <c r="H163" i="3" s="1"/>
  <c r="J163" i="3" s="1"/>
  <c r="H42" i="3"/>
  <c r="N65" i="3"/>
  <c r="N74" i="3"/>
  <c r="F97" i="3" s="1"/>
  <c r="H34" i="3"/>
  <c r="G76" i="3" s="1"/>
  <c r="A34" i="3"/>
  <c r="C24" i="3"/>
  <c r="F14" i="3"/>
  <c r="G13" i="3" s="1"/>
  <c r="H114" i="3"/>
  <c r="J114" i="3" s="1"/>
  <c r="G77" i="3" l="1"/>
  <c r="G12" i="3"/>
  <c r="H78" i="3"/>
  <c r="H72" i="3"/>
  <c r="C88" i="3"/>
  <c r="K88" i="3" s="1"/>
  <c r="K34" i="3"/>
  <c r="J76" i="3" s="1"/>
  <c r="K78" i="3" s="1"/>
  <c r="K47" i="3"/>
  <c r="H164" i="3" s="1"/>
  <c r="J164" i="3" s="1"/>
  <c r="J170" i="3" s="1"/>
  <c r="H37" i="3"/>
  <c r="H47" i="3"/>
  <c r="H51" i="3" s="1"/>
  <c r="H80" i="3" s="1"/>
  <c r="K58" i="3"/>
  <c r="K82" i="3" s="1"/>
  <c r="H150" i="3"/>
  <c r="J150" i="3" s="1"/>
  <c r="H69" i="3"/>
  <c r="I117" i="3"/>
  <c r="K72" i="3"/>
  <c r="G11" i="3"/>
  <c r="G14" i="3" s="1"/>
  <c r="I114" i="3"/>
  <c r="H119" i="3"/>
  <c r="J130" i="3" s="1"/>
  <c r="H31" i="3"/>
  <c r="H148" i="3"/>
  <c r="J148" i="3" s="1"/>
  <c r="K31" i="3"/>
  <c r="N80" i="3"/>
  <c r="N75" i="3" s="1"/>
  <c r="F21" i="3" s="1"/>
  <c r="F98" i="3" s="1"/>
  <c r="F99" i="3" s="1"/>
  <c r="J99" i="3" s="1"/>
  <c r="H88" i="3" l="1"/>
  <c r="K51" i="3"/>
  <c r="K80" i="3" s="1"/>
  <c r="K37" i="3"/>
  <c r="K61" i="3" s="1"/>
  <c r="K63" i="3" s="1"/>
  <c r="J96" i="3" s="1"/>
  <c r="J106" i="3" s="1"/>
  <c r="J132" i="3" s="1"/>
  <c r="H61" i="3"/>
  <c r="H63" i="3" s="1"/>
  <c r="H130" i="3"/>
  <c r="H73" i="3"/>
  <c r="H84" i="3" s="1"/>
  <c r="K69" i="3"/>
  <c r="K73" i="3" s="1"/>
  <c r="K84" i="3" s="1"/>
  <c r="K90" i="3" s="1"/>
  <c r="J104" i="3"/>
  <c r="H149" i="3"/>
  <c r="H90" i="3" l="1"/>
  <c r="H151" i="3"/>
  <c r="J149" i="3"/>
  <c r="I134" i="3"/>
  <c r="I135" i="3"/>
  <c r="J155" i="3" l="1"/>
  <c r="J159" i="3" l="1"/>
  <c r="J173" i="3" s="1"/>
  <c r="K18" i="3"/>
</calcChain>
</file>

<file path=xl/sharedStrings.xml><?xml version="1.0" encoding="utf-8"?>
<sst xmlns="http://schemas.openxmlformats.org/spreadsheetml/2006/main" count="198" uniqueCount="179">
  <si>
    <t>REKENMODEL LASTEN PREDIKANTSPLAATS</t>
  </si>
  <si>
    <t>Hersteld Hervormde Kerk</t>
  </si>
  <si>
    <t>Gebaseerd op de tabellen bij de generale regeling voor de predikantstraktementen en predikantspensioenen</t>
  </si>
  <si>
    <t>versie 2023.1</t>
  </si>
  <si>
    <t>Onderstaande parameters</t>
  </si>
  <si>
    <t>niet wijzigen!</t>
  </si>
  <si>
    <t>Algemene gegevens</t>
  </si>
  <si>
    <t>(Alleen de geel gemarkeerde velden invullen)</t>
  </si>
  <si>
    <t xml:space="preserve"> (worden niet afgedrukt)</t>
  </si>
  <si>
    <t>Hersteld Hervormde Gemeente te</t>
  </si>
  <si>
    <t>(Naam van de gemeente)</t>
  </si>
  <si>
    <t xml:space="preserve"> </t>
  </si>
  <si>
    <t>Jaar:</t>
  </si>
  <si>
    <t>Omvang werktijd predikantsplaats (in fracties van 1/12):</t>
  </si>
  <si>
    <t>(12/12e is volledige werktijd)</t>
  </si>
  <si>
    <t>Ambtswoning beschikbaar (0=nee; 1=ja):</t>
  </si>
  <si>
    <t>Ziektekostenvoorziening</t>
  </si>
  <si>
    <t>Ambtswoning: max. vergoeding, indien afwijkend:</t>
  </si>
  <si>
    <t>Gehuwde predikant</t>
  </si>
  <si>
    <t>Ongehuwde predikant</t>
  </si>
  <si>
    <t>Aantallen leden:</t>
  </si>
  <si>
    <t>belijdende leden:</t>
  </si>
  <si>
    <t>doopleden:</t>
  </si>
  <si>
    <t>Periodieken</t>
  </si>
  <si>
    <t>geboorteleden</t>
  </si>
  <si>
    <t>Peildatum</t>
  </si>
  <si>
    <t>totaal aantal leden</t>
  </si>
  <si>
    <t>Bedrag per maand</t>
  </si>
  <si>
    <t>30 of jonger</t>
  </si>
  <si>
    <t>Gegevens predikant</t>
  </si>
  <si>
    <t>Geboortedatum predikant:</t>
  </si>
  <si>
    <t>Leeftijd op 1 januari :</t>
  </si>
  <si>
    <t>jaar</t>
  </si>
  <si>
    <r>
      <t xml:space="preserve">Gehuwd </t>
    </r>
    <r>
      <rPr>
        <sz val="9"/>
        <rFont val="Arial"/>
        <family val="2"/>
      </rPr>
      <t>(ja=1, nee=0</t>
    </r>
    <r>
      <rPr>
        <sz val="10"/>
        <rFont val="Arial"/>
      </rPr>
      <t>):</t>
    </r>
  </si>
  <si>
    <t>Aantal periodieken (tabel 13):</t>
  </si>
  <si>
    <t>( Uit te keren door de Stichting Predikantstraktementen)</t>
  </si>
  <si>
    <t>Aantal preekbeurten eigen predikant</t>
  </si>
  <si>
    <r>
      <t xml:space="preserve">(Default </t>
    </r>
    <r>
      <rPr>
        <u/>
        <sz val="10"/>
        <rFont val="Arial"/>
        <family val="2"/>
      </rPr>
      <t>rekenkundig</t>
    </r>
    <r>
      <rPr>
        <sz val="10"/>
        <rFont val="Arial"/>
        <family val="2"/>
      </rPr>
      <t xml:space="preserve"> aantal minus vakantie en vrije zondagen)</t>
    </r>
  </si>
  <si>
    <t xml:space="preserve">I.  TRAKTEMENTSKOSTEN PREDIKANT </t>
  </si>
  <si>
    <t>Jaar van berekening</t>
  </si>
  <si>
    <t>kosten bij volledig</t>
  </si>
  <si>
    <t>Basistraktement per maand</t>
  </si>
  <si>
    <t>Vakantietoeslag (tabel 4)</t>
  </si>
  <si>
    <t>Kosten basistraktement voor rekening van de gemeente</t>
  </si>
  <si>
    <t>A</t>
  </si>
  <si>
    <t>44 of ouder</t>
  </si>
  <si>
    <t>emolumenten:</t>
  </si>
  <si>
    <t>Basistraktement</t>
  </si>
  <si>
    <t>Vakantietoeslag</t>
  </si>
  <si>
    <t>Inhouding eigen pensioen-</t>
  </si>
  <si>
    <t>Tegemoetkoming ziektekostenvoorziening</t>
  </si>
  <si>
    <t>bijdrage predikant</t>
  </si>
  <si>
    <t>Totaal emolumenten</t>
  </si>
  <si>
    <t>B</t>
  </si>
  <si>
    <t>Omslagbijdrage SPP (P-Nota)</t>
  </si>
  <si>
    <t>Vergoeding van onkosten:</t>
  </si>
  <si>
    <t>belijdend</t>
  </si>
  <si>
    <t>doop</t>
  </si>
  <si>
    <t>geboorte</t>
  </si>
  <si>
    <t>Geschat aantal km's per maand</t>
  </si>
  <si>
    <t>max. aantal leden</t>
  </si>
  <si>
    <t>max. bedrag</t>
  </si>
  <si>
    <t>Representatiekosten</t>
  </si>
  <si>
    <t>per jaar:</t>
  </si>
  <si>
    <t>aant. Doop-belijd.leden</t>
  </si>
  <si>
    <t>Vakliteratuur</t>
  </si>
  <si>
    <t>(ook bij parttime)</t>
  </si>
  <si>
    <t>Admin.- en bureaukosten</t>
  </si>
  <si>
    <t>Omslagbijdrage SPT (A-Nota)</t>
  </si>
  <si>
    <t>belijdende leden</t>
  </si>
  <si>
    <t>doopleden</t>
  </si>
  <si>
    <t>Communicatiekosten:</t>
  </si>
  <si>
    <t>Totaal vergoeding van kosten</t>
  </si>
  <si>
    <t>C</t>
  </si>
  <si>
    <t>max. bijdrage</t>
  </si>
  <si>
    <t>plaatselijke vergoedingsregelingen:</t>
  </si>
  <si>
    <t>Omslagbijdrage Algemeen</t>
  </si>
  <si>
    <t>Vergoeding tuinonderhoud</t>
  </si>
  <si>
    <t>Kerkenwerk (K-Nota)</t>
  </si>
  <si>
    <t>Andere vergoedingen</t>
  </si>
  <si>
    <t>D</t>
  </si>
  <si>
    <t>GDC:</t>
  </si>
  <si>
    <t>TOTAAL KOSTEN PREDIKANT PER MAAND (A + B + C + D)</t>
  </si>
  <si>
    <t>bij volledig:</t>
  </si>
  <si>
    <t>TOTAAL KOSTEN PREDIKANT PER JAAR</t>
  </si>
  <si>
    <t>Overige parameters</t>
  </si>
  <si>
    <t>Aantal zondagen</t>
  </si>
  <si>
    <t>II. PREDIKANT ONTVANGT PER MAAND:</t>
  </si>
  <si>
    <t>Aantal diensten</t>
  </si>
  <si>
    <t>bij volledige werktijd</t>
  </si>
  <si>
    <t xml:space="preserve"> + biddag</t>
  </si>
  <si>
    <t>1. VAN DE KERKVOOGDIJ (GEMEENTE):</t>
  </si>
  <si>
    <t xml:space="preserve"> + dankdag</t>
  </si>
  <si>
    <t>traktement:</t>
  </si>
  <si>
    <t xml:space="preserve"> + Nieuwjaar</t>
  </si>
  <si>
    <t xml:space="preserve"> + Goede Vrijdag</t>
  </si>
  <si>
    <t>Af: inhouding pensioenbijdrage volgens tabel 6</t>
  </si>
  <si>
    <t xml:space="preserve"> + Hemelvaartsdag</t>
  </si>
  <si>
    <r>
      <t>Bij: vakantietoeslag (</t>
    </r>
    <r>
      <rPr>
        <i/>
        <sz val="10"/>
        <rFont val="Arial"/>
        <family val="2"/>
      </rPr>
      <t>in de maand mei</t>
    </r>
    <r>
      <rPr>
        <sz val="10"/>
        <rFont val="Arial"/>
      </rPr>
      <t>)</t>
    </r>
  </si>
  <si>
    <t xml:space="preserve"> + 1e en 2e Pdagen</t>
  </si>
  <si>
    <t xml:space="preserve"> + Kerstdagen</t>
  </si>
  <si>
    <t>Traktement</t>
  </si>
  <si>
    <t xml:space="preserve"> + Oudjaar</t>
  </si>
  <si>
    <t>Totaal diensten</t>
  </si>
  <si>
    <t>Beurten calc.</t>
  </si>
  <si>
    <t xml:space="preserve">Vrijstelling van het dienstwerk </t>
  </si>
  <si>
    <t>(tabel 12)</t>
  </si>
  <si>
    <t>vrije zondagen</t>
  </si>
  <si>
    <t>vrije weken</t>
  </si>
  <si>
    <t>leeftijdgrens</t>
  </si>
  <si>
    <t>Totaal volgens plaatselijke vergoedingsregelingen</t>
  </si>
  <si>
    <t>Vergoeding preekbeurt</t>
  </si>
  <si>
    <t>TOTAAL DOOR KERKVOOGDIJ (GEMEENTE) TE BETALEN</t>
  </si>
  <si>
    <t>Kilometervergoeding</t>
  </si>
  <si>
    <t>2. VAN DE STICHTING PREDIKANTSTRAKTEMENTEN:</t>
  </si>
  <si>
    <t>Vergoeding gemis ambtswoning</t>
  </si>
  <si>
    <t>periodiek:</t>
  </si>
  <si>
    <t>hulpvld test:</t>
  </si>
  <si>
    <t>Aantal periodieken</t>
  </si>
  <si>
    <t>x bedrag €</t>
  </si>
  <si>
    <t>vergoeding:</t>
  </si>
  <si>
    <r>
      <t xml:space="preserve">Predikant ontvangt per maand totaal </t>
    </r>
    <r>
      <rPr>
        <sz val="8"/>
        <rFont val="Arial"/>
        <family val="2"/>
      </rPr>
      <t>(excl. vakantiegeld)</t>
    </r>
  </si>
  <si>
    <t>III. JAARLIJKSE LASTEN VOOR GEMEENTE, VERBAND HOUDENDE MET BEZETTE PREDIKANTSPLAATS</t>
  </si>
  <si>
    <t>Aanvullende preekvoorziening i.v.m. vrije zondagen</t>
  </si>
  <si>
    <t>beurten x</t>
  </si>
  <si>
    <t>Aanvullende preekvoorziening reiskosten gastpredikant</t>
  </si>
  <si>
    <t>km. x</t>
  </si>
  <si>
    <t xml:space="preserve"> =</t>
  </si>
  <si>
    <t>Overig</t>
  </si>
  <si>
    <t>Totaal kosten preekvoorziening</t>
  </si>
  <si>
    <t>TOTAAL LASTEN I.V.M. PREDIKANT</t>
  </si>
  <si>
    <t>IV. BEREKENING AF TE DRAGEN OMSLAGBIJDRAGEN</t>
  </si>
  <si>
    <t>Omschrijving / berekening</t>
  </si>
  <si>
    <t>Notasoort</t>
  </si>
  <si>
    <t>Af te dragen</t>
  </si>
  <si>
    <t>Lasten voor de gemeente</t>
  </si>
  <si>
    <t>St. Predikantstraktementen (inzake periodieken predikant)</t>
  </si>
  <si>
    <t>A-Nota</t>
  </si>
  <si>
    <t>St. voor de Predikantspensioenen (inzake pensioenvoorziening predikant)</t>
  </si>
  <si>
    <t>Afdracht ingeh. pensioenbijdrage predikant</t>
  </si>
  <si>
    <t>P-Nota</t>
  </si>
  <si>
    <t>St. Kerkelijk Bureau (inzake algemeen kerkenwerk)</t>
  </si>
  <si>
    <t xml:space="preserve">op gemeenteleden te verhalen bedrag </t>
  </si>
  <si>
    <t xml:space="preserve"> -   </t>
  </si>
  <si>
    <t>K-Nota</t>
  </si>
  <si>
    <t>Generale Diaconale Commissie (t.l.v. Diaconie)</t>
  </si>
  <si>
    <t>D-Nota</t>
  </si>
  <si>
    <t>Bedrag komt t.l.v. Diaconie; dus niet in deze cijfers opgenomen.</t>
  </si>
  <si>
    <t>TOTAAL AF TE DRAGEN BEDRAGEN RESP. LAST VOOR DE GEMEENTE</t>
  </si>
  <si>
    <t>V. TOTAAL-GENERAAL LASTEN BEZETTE PREDIKANTSPLAATS</t>
  </si>
  <si>
    <t>€</t>
  </si>
  <si>
    <t>#</t>
  </si>
  <si>
    <t>Idem per lid, berekend op basis van som belijdende- en doopleden</t>
  </si>
  <si>
    <t>Idem per lid, berekend op basis van som belijdende- en  half x aantal doopleden</t>
  </si>
  <si>
    <t>VI. OVERZICHT BRUTO JAARINKOMEN PREDIKANT</t>
  </si>
  <si>
    <t xml:space="preserve">Dit overzicht is opgebouwd uit de bedragen uit bovenstaand model, bedoeld voor gebruik in gemeenten. </t>
  </si>
  <si>
    <t>Dit overzicht geeft slechts de componenten weer van het brutojaarinkomen vanuit één gemeente.</t>
  </si>
  <si>
    <t>Inkomenselementen die afhankelijk zijn van de persoonlijke situatie van de predikant, zijn NIET opgenomen (bijv.</t>
  </si>
  <si>
    <t>fiscale bijtelling wegens vrij gebruik pastorie, neveninkomsten, persoonlijke bijtel- en aftrekposten).</t>
  </si>
  <si>
    <t>Het betreft bruto bedragen.</t>
  </si>
  <si>
    <t>Géén rekening is gehouden met extra inkomsten wegens preekbeurten en andere neveninkomsten.</t>
  </si>
  <si>
    <t>Aan dit overzicht kunnen geen rechten worden ontleend.</t>
  </si>
  <si>
    <r>
      <t xml:space="preserve">Deze opstelling is slechts bedoeld als een </t>
    </r>
    <r>
      <rPr>
        <u/>
        <sz val="10"/>
        <rFont val="Arial"/>
        <family val="2"/>
      </rPr>
      <t>indicatie</t>
    </r>
    <r>
      <rPr>
        <sz val="10"/>
        <rFont val="Arial"/>
      </rPr>
      <t xml:space="preserve"> van het jaarlijks inkomen.</t>
    </r>
  </si>
  <si>
    <t>per maand</t>
  </si>
  <si>
    <t>per jaar (x 12)</t>
  </si>
  <si>
    <t>Periodieke verhoging</t>
  </si>
  <si>
    <t>Af: inhouding eigen bijdrage pensioenvoorziening</t>
  </si>
  <si>
    <t>bruto maandinkomen</t>
  </si>
  <si>
    <t>Vakantiegeld (incl. eindejaarsuitkering)</t>
  </si>
  <si>
    <t>bruto jaarinkomen excl bijdrage zkv-premie</t>
  </si>
  <si>
    <t>Bijdrage premie ziektekostenverzekering</t>
  </si>
  <si>
    <t>Bruto jaarinkomen predikant</t>
  </si>
  <si>
    <t>Overige inkomensbestanddelen:</t>
  </si>
  <si>
    <t>Vervoerskosten</t>
  </si>
  <si>
    <t>Vergoedingen volgens generale regeling</t>
  </si>
  <si>
    <t>Vergoeding communicatiekosten</t>
  </si>
  <si>
    <t>Brutobedrag volgens plaatselijke vergoedingsregeling</t>
  </si>
  <si>
    <t>totaal overige inkomensbestanddelen</t>
  </si>
  <si>
    <t>TOTAAL BRUTO INKOMEN PER JAAR PREDIKANT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</si>
</sst>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&quot;€&quot;\ \-#,##0"/>
    <numFmt numFmtId="164" formatCode="_-&quot;€&quot;\ * #,##0.00_-;_-&quot;€&quot;\ * #,##0.00\-;_-&quot;€&quot;\ * &quot;-&quot;??_-;_-@_-"/>
    <numFmt numFmtId="165" formatCode="&quot;€&quot;\ #,##0.00_-"/>
    <numFmt numFmtId="166" formatCode="&quot;€&quot;\ #,##0.00"/>
    <numFmt numFmtId="167" formatCode="dd/mm/yy;@"/>
  </numFmts>
  <fonts count="2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u val="double"/>
      <sz val="9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39"/>
      </left>
      <right/>
      <top style="dashDotDot">
        <color indexed="39"/>
      </top>
      <bottom/>
      <diagonal/>
    </border>
    <border>
      <left/>
      <right style="dashDotDot">
        <color indexed="39"/>
      </right>
      <top style="dashDotDot">
        <color indexed="39"/>
      </top>
      <bottom/>
      <diagonal/>
    </border>
    <border>
      <left style="dashDotDot">
        <color indexed="39"/>
      </left>
      <right/>
      <top/>
      <bottom/>
      <diagonal/>
    </border>
    <border>
      <left/>
      <right style="dashDotDot">
        <color indexed="39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dashDotDot">
        <color indexed="39"/>
      </left>
      <right/>
      <top/>
      <bottom style="dashDotDot">
        <color indexed="39"/>
      </bottom>
      <diagonal/>
    </border>
    <border>
      <left/>
      <right style="dashDotDot">
        <color indexed="39"/>
      </right>
      <top/>
      <bottom style="dashDotDot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  <xf numFmtId="0" fontId="4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0" fontId="6" fillId="0" borderId="3" xfId="0" applyFont="1" applyBorder="1"/>
    <xf numFmtId="4" fontId="0" fillId="0" borderId="4" xfId="0" applyNumberFormat="1" applyBorder="1"/>
    <xf numFmtId="4" fontId="0" fillId="0" borderId="5" xfId="0" applyNumberFormat="1" applyBorder="1"/>
    <xf numFmtId="3" fontId="0" fillId="2" borderId="0" xfId="0" applyNumberFormat="1" applyFill="1" applyProtection="1">
      <protection locked="0"/>
    </xf>
    <xf numFmtId="164" fontId="0" fillId="0" borderId="0" xfId="0" applyNumberFormat="1"/>
    <xf numFmtId="9" fontId="0" fillId="0" borderId="0" xfId="0" applyNumberFormat="1"/>
    <xf numFmtId="0" fontId="0" fillId="3" borderId="3" xfId="0" applyFill="1" applyBorder="1"/>
    <xf numFmtId="0" fontId="0" fillId="3" borderId="0" xfId="0" applyFill="1"/>
    <xf numFmtId="4" fontId="0" fillId="3" borderId="0" xfId="0" applyNumberFormat="1" applyFill="1"/>
    <xf numFmtId="4" fontId="7" fillId="3" borderId="0" xfId="0" applyNumberFormat="1" applyFont="1" applyFill="1"/>
    <xf numFmtId="4" fontId="4" fillId="3" borderId="4" xfId="0" applyNumberFormat="1" applyFont="1" applyFill="1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4" xfId="0" applyBorder="1"/>
    <xf numFmtId="0" fontId="2" fillId="3" borderId="3" xfId="0" applyFont="1" applyFill="1" applyBorder="1"/>
    <xf numFmtId="2" fontId="0" fillId="0" borderId="0" xfId="0" applyNumberFormat="1"/>
    <xf numFmtId="4" fontId="0" fillId="0" borderId="13" xfId="0" applyNumberFormat="1" applyBorder="1"/>
    <xf numFmtId="0" fontId="2" fillId="0" borderId="3" xfId="0" applyFont="1" applyBorder="1"/>
    <xf numFmtId="4" fontId="2" fillId="0" borderId="0" xfId="0" applyNumberFormat="1" applyFont="1"/>
    <xf numFmtId="4" fontId="2" fillId="4" borderId="0" xfId="0" applyNumberFormat="1" applyFont="1" applyFill="1"/>
    <xf numFmtId="4" fontId="2" fillId="0" borderId="4" xfId="0" applyNumberFormat="1" applyFont="1" applyBorder="1"/>
    <xf numFmtId="4" fontId="2" fillId="4" borderId="4" xfId="0" applyNumberFormat="1" applyFont="1" applyFill="1" applyBorder="1"/>
    <xf numFmtId="0" fontId="0" fillId="0" borderId="8" xfId="0" applyBorder="1"/>
    <xf numFmtId="4" fontId="0" fillId="0" borderId="0" xfId="0" applyNumberFormat="1" applyProtection="1">
      <protection locked="0"/>
    </xf>
    <xf numFmtId="0" fontId="2" fillId="0" borderId="14" xfId="0" applyFont="1" applyBorder="1"/>
    <xf numFmtId="0" fontId="0" fillId="0" borderId="1" xfId="0" applyBorder="1"/>
    <xf numFmtId="0" fontId="0" fillId="0" borderId="15" xfId="0" applyBorder="1"/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4" fontId="2" fillId="0" borderId="8" xfId="0" applyNumberFormat="1" applyFont="1" applyBorder="1"/>
    <xf numFmtId="2" fontId="0" fillId="0" borderId="4" xfId="0" applyNumberFormat="1" applyBorder="1"/>
    <xf numFmtId="4" fontId="0" fillId="2" borderId="4" xfId="0" applyNumberFormat="1" applyFill="1" applyBorder="1" applyProtection="1">
      <protection locked="0"/>
    </xf>
    <xf numFmtId="4" fontId="2" fillId="0" borderId="7" xfId="0" applyNumberFormat="1" applyFont="1" applyBorder="1"/>
    <xf numFmtId="4" fontId="0" fillId="0" borderId="3" xfId="0" applyNumberFormat="1" applyBorder="1"/>
    <xf numFmtId="0" fontId="0" fillId="0" borderId="0" xfId="0" applyProtection="1">
      <protection locked="0"/>
    </xf>
    <xf numFmtId="0" fontId="3" fillId="0" borderId="18" xfId="0" applyFont="1" applyBorder="1"/>
    <xf numFmtId="0" fontId="0" fillId="0" borderId="19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3" borderId="1" xfId="0" applyFill="1" applyBorder="1"/>
    <xf numFmtId="4" fontId="4" fillId="3" borderId="15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4" xfId="0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4" xfId="0" applyNumberFormat="1" applyFont="1" applyBorder="1"/>
    <xf numFmtId="4" fontId="4" fillId="0" borderId="8" xfId="0" applyNumberFormat="1" applyFont="1" applyBorder="1"/>
    <xf numFmtId="0" fontId="0" fillId="0" borderId="22" xfId="0" applyBorder="1"/>
    <xf numFmtId="0" fontId="9" fillId="0" borderId="0" xfId="0" applyFont="1"/>
    <xf numFmtId="0" fontId="11" fillId="0" borderId="20" xfId="0" applyFont="1" applyBorder="1"/>
    <xf numFmtId="4" fontId="13" fillId="0" borderId="0" xfId="0" applyNumberFormat="1" applyFont="1" applyAlignment="1">
      <alignment horizontal="center" wrapText="1"/>
    </xf>
    <xf numFmtId="165" fontId="14" fillId="0" borderId="0" xfId="0" applyNumberFormat="1" applyFont="1" applyAlignment="1">
      <alignment horizontal="right"/>
    </xf>
    <xf numFmtId="0" fontId="15" fillId="0" borderId="18" xfId="0" applyFont="1" applyBorder="1"/>
    <xf numFmtId="2" fontId="15" fillId="0" borderId="19" xfId="0" applyNumberFormat="1" applyFont="1" applyBorder="1"/>
    <xf numFmtId="0" fontId="15" fillId="0" borderId="23" xfId="0" applyFont="1" applyBorder="1"/>
    <xf numFmtId="2" fontId="15" fillId="0" borderId="24" xfId="0" applyNumberFormat="1" applyFont="1" applyBorder="1"/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11" fillId="0" borderId="18" xfId="0" applyFont="1" applyBorder="1"/>
    <xf numFmtId="0" fontId="6" fillId="0" borderId="21" xfId="0" applyFont="1" applyBorder="1"/>
    <xf numFmtId="0" fontId="9" fillId="0" borderId="3" xfId="0" applyFont="1" applyBorder="1"/>
    <xf numFmtId="2" fontId="0" fillId="0" borderId="0" xfId="0" applyNumberFormat="1" applyProtection="1">
      <protection locked="0"/>
    </xf>
    <xf numFmtId="0" fontId="9" fillId="0" borderId="19" xfId="0" applyFont="1" applyBorder="1"/>
    <xf numFmtId="1" fontId="0" fillId="5" borderId="0" xfId="0" applyNumberFormat="1" applyFill="1"/>
    <xf numFmtId="0" fontId="0" fillId="0" borderId="19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19" xfId="0" applyNumberFormat="1" applyBorder="1"/>
    <xf numFmtId="0" fontId="9" fillId="0" borderId="18" xfId="0" applyFont="1" applyBorder="1"/>
    <xf numFmtId="4" fontId="9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8" fillId="0" borderId="0" xfId="0" applyFont="1"/>
    <xf numFmtId="0" fontId="6" fillId="0" borderId="0" xfId="0" applyFont="1" applyAlignment="1">
      <alignment horizontal="center"/>
    </xf>
    <xf numFmtId="166" fontId="0" fillId="0" borderId="0" xfId="0" applyNumberFormat="1"/>
    <xf numFmtId="166" fontId="0" fillId="0" borderId="19" xfId="0" applyNumberFormat="1" applyBorder="1"/>
    <xf numFmtId="166" fontId="0" fillId="0" borderId="21" xfId="0" applyNumberFormat="1" applyBorder="1"/>
    <xf numFmtId="166" fontId="9" fillId="0" borderId="19" xfId="0" applyNumberFormat="1" applyFont="1" applyBorder="1"/>
    <xf numFmtId="6" fontId="0" fillId="0" borderId="0" xfId="0" applyNumberFormat="1"/>
    <xf numFmtId="0" fontId="9" fillId="0" borderId="0" xfId="0" applyFont="1" applyAlignment="1">
      <alignment horizontal="center"/>
    </xf>
    <xf numFmtId="6" fontId="0" fillId="0" borderId="19" xfId="0" applyNumberFormat="1" applyBorder="1"/>
    <xf numFmtId="0" fontId="0" fillId="0" borderId="0" xfId="0" applyAlignment="1">
      <alignment horizontal="left"/>
    </xf>
    <xf numFmtId="167" fontId="0" fillId="0" borderId="0" xfId="0" applyNumberFormat="1"/>
    <xf numFmtId="14" fontId="9" fillId="0" borderId="19" xfId="0" applyNumberFormat="1" applyFont="1" applyBorder="1"/>
    <xf numFmtId="0" fontId="0" fillId="2" borderId="0" xfId="0" applyFill="1" applyAlignment="1" applyProtection="1">
      <alignment horizontal="center"/>
      <protection locked="0"/>
    </xf>
    <xf numFmtId="14" fontId="9" fillId="2" borderId="0" xfId="0" applyNumberFormat="1" applyFont="1" applyFill="1" applyProtection="1">
      <protection locked="0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0" fillId="7" borderId="0" xfId="0" applyNumberFormat="1" applyFill="1" applyProtection="1">
      <protection locked="0"/>
    </xf>
    <xf numFmtId="0" fontId="9" fillId="0" borderId="7" xfId="0" applyFont="1" applyBorder="1"/>
    <xf numFmtId="3" fontId="0" fillId="2" borderId="7" xfId="0" applyNumberFormat="1" applyFill="1" applyBorder="1" applyProtection="1">
      <protection locked="0"/>
    </xf>
    <xf numFmtId="10" fontId="11" fillId="0" borderId="0" xfId="1" applyNumberFormat="1" applyFont="1"/>
    <xf numFmtId="10" fontId="11" fillId="0" borderId="7" xfId="1" applyNumberFormat="1" applyFont="1" applyBorder="1"/>
    <xf numFmtId="10" fontId="11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4" fontId="10" fillId="0" borderId="0" xfId="0" applyNumberFormat="1" applyFont="1" applyProtection="1">
      <protection hidden="1"/>
    </xf>
    <xf numFmtId="0" fontId="3" fillId="0" borderId="22" xfId="0" applyFont="1" applyBorder="1"/>
    <xf numFmtId="0" fontId="9" fillId="0" borderId="22" xfId="0" applyFont="1" applyBorder="1"/>
    <xf numFmtId="0" fontId="2" fillId="0" borderId="22" xfId="0" applyFont="1" applyBorder="1"/>
    <xf numFmtId="0" fontId="0" fillId="6" borderId="3" xfId="0" applyFill="1" applyBorder="1"/>
    <xf numFmtId="0" fontId="0" fillId="6" borderId="0" xfId="0" applyFill="1"/>
    <xf numFmtId="0" fontId="0" fillId="6" borderId="4" xfId="0" applyFill="1" applyBorder="1"/>
    <xf numFmtId="0" fontId="9" fillId="6" borderId="3" xfId="0" applyFont="1" applyFill="1" applyBorder="1"/>
    <xf numFmtId="0" fontId="2" fillId="6" borderId="3" xfId="0" applyFont="1" applyFill="1" applyBorder="1"/>
    <xf numFmtId="0" fontId="0" fillId="8" borderId="15" xfId="0" applyFill="1" applyBorder="1"/>
    <xf numFmtId="0" fontId="0" fillId="8" borderId="1" xfId="0" applyFill="1" applyBorder="1"/>
    <xf numFmtId="4" fontId="0" fillId="5" borderId="0" xfId="0" applyNumberFormat="1" applyFill="1" applyProtection="1">
      <protection locked="0"/>
    </xf>
    <xf numFmtId="4" fontId="0" fillId="5" borderId="0" xfId="0" applyNumberFormat="1" applyFill="1"/>
    <xf numFmtId="0" fontId="0" fillId="0" borderId="7" xfId="0" applyBorder="1" applyAlignment="1">
      <alignment horizontal="right"/>
    </xf>
    <xf numFmtId="4" fontId="0" fillId="5" borderId="3" xfId="0" applyNumberFormat="1" applyFill="1" applyBorder="1" applyProtection="1">
      <protection locked="0"/>
    </xf>
    <xf numFmtId="0" fontId="9" fillId="0" borderId="20" xfId="0" applyFont="1" applyBorder="1"/>
    <xf numFmtId="2" fontId="0" fillId="5" borderId="0" xfId="0" applyNumberFormat="1" applyFill="1" applyProtection="1">
      <protection locked="0"/>
    </xf>
    <xf numFmtId="4" fontId="9" fillId="0" borderId="0" xfId="0" quotePrefix="1" applyNumberFormat="1" applyFont="1"/>
    <xf numFmtId="3" fontId="5" fillId="5" borderId="0" xfId="0" applyNumberFormat="1" applyFont="1" applyFill="1" applyAlignment="1" applyProtection="1">
      <alignment horizontal="center"/>
      <protection locked="0"/>
    </xf>
    <xf numFmtId="4" fontId="5" fillId="3" borderId="0" xfId="0" applyNumberFormat="1" applyFont="1" applyFill="1"/>
    <xf numFmtId="0" fontId="5" fillId="0" borderId="18" xfId="0" applyFont="1" applyBorder="1"/>
    <xf numFmtId="0" fontId="5" fillId="0" borderId="0" xfId="0" applyFont="1"/>
    <xf numFmtId="0" fontId="23" fillId="0" borderId="0" xfId="0" applyFont="1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4" fillId="0" borderId="0" xfId="0" applyFont="1"/>
    <xf numFmtId="0" fontId="9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5" borderId="18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Alignment="1"/>
    <xf numFmtId="0" fontId="9" fillId="0" borderId="0" xfId="0" applyFont="1" applyAlignment="1"/>
    <xf numFmtId="0" fontId="9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7" borderId="0" xfId="0" applyFill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3" xfId="0" applyBorder="1" applyAlignment="1"/>
    <xf numFmtId="0" fontId="0" fillId="0" borderId="0" xfId="0" applyAlignment="1"/>
    <xf numFmtId="0" fontId="9" fillId="2" borderId="26" xfId="0" applyFont="1" applyFill="1" applyBorder="1" applyAlignment="1" applyProtection="1">
      <protection locked="0"/>
    </xf>
    <xf numFmtId="0" fontId="9" fillId="2" borderId="28" xfId="0" applyFont="1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0" borderId="4" xfId="0" applyBorder="1" applyAlignment="1"/>
    <xf numFmtId="0" fontId="4" fillId="3" borderId="14" xfId="0" applyFont="1" applyFill="1" applyBorder="1" applyAlignment="1"/>
    <xf numFmtId="0" fontId="4" fillId="3" borderId="1" xfId="0" applyFont="1" applyFill="1" applyBorder="1" applyAlignment="1"/>
    <xf numFmtId="0" fontId="4" fillId="8" borderId="14" xfId="0" applyFont="1" applyFill="1" applyBorder="1" applyAlignment="1"/>
    <xf numFmtId="0" fontId="4" fillId="8" borderId="1" xfId="0" applyFont="1" applyFill="1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3"/>
  <sheetViews>
    <sheetView tabSelected="1" zoomScaleNormal="100" workbookViewId="0">
      <selection activeCell="F8" sqref="F8"/>
    </sheetView>
  </sheetViews>
  <sheetFormatPr defaultRowHeight="13.15"/>
  <cols>
    <col min="3" max="3" width="9.28515625" bestFit="1" customWidth="1"/>
    <col min="4" max="4" width="10.85546875" bestFit="1" customWidth="1"/>
    <col min="5" max="5" width="9.28515625" bestFit="1" customWidth="1"/>
    <col min="6" max="6" width="10.5703125" bestFit="1" customWidth="1"/>
    <col min="7" max="7" width="9.85546875" bestFit="1" customWidth="1"/>
    <col min="8" max="8" width="14" customWidth="1"/>
    <col min="9" max="9" width="9.28515625" customWidth="1"/>
    <col min="10" max="10" width="13.5703125" bestFit="1" customWidth="1"/>
    <col min="11" max="11" width="15.7109375" customWidth="1"/>
    <col min="13" max="13" width="20.140625" bestFit="1" customWidth="1"/>
    <col min="14" max="14" width="10.7109375" bestFit="1" customWidth="1"/>
    <col min="16" max="16" width="9.42578125" bestFit="1" customWidth="1"/>
    <col min="19" max="19" width="9.42578125" bestFit="1" customWidth="1"/>
  </cols>
  <sheetData>
    <row r="1" spans="1:14" ht="15.6">
      <c r="A1" s="4" t="s">
        <v>0</v>
      </c>
      <c r="H1" s="95"/>
      <c r="I1" s="150" t="s">
        <v>1</v>
      </c>
      <c r="J1" s="151"/>
      <c r="K1" s="151"/>
    </row>
    <row r="2" spans="1:14" ht="13.9">
      <c r="A2" s="71" t="s">
        <v>2</v>
      </c>
      <c r="H2" s="95"/>
      <c r="I2" s="141"/>
      <c r="J2" s="142"/>
      <c r="K2" s="95" t="s">
        <v>3</v>
      </c>
      <c r="M2" s="145" t="s">
        <v>4</v>
      </c>
      <c r="N2" s="146"/>
    </row>
    <row r="3" spans="1:14">
      <c r="I3" s="71"/>
      <c r="J3" s="155"/>
      <c r="K3" s="156"/>
      <c r="M3" s="147" t="s">
        <v>5</v>
      </c>
      <c r="N3" s="148"/>
    </row>
    <row r="4" spans="1:14">
      <c r="A4" s="116" t="s">
        <v>6</v>
      </c>
      <c r="F4" s="140" t="s">
        <v>7</v>
      </c>
      <c r="M4" s="149" t="s">
        <v>8</v>
      </c>
      <c r="N4" s="149"/>
    </row>
    <row r="5" spans="1:14">
      <c r="E5" s="142" t="s">
        <v>9</v>
      </c>
      <c r="F5" s="157" t="s">
        <v>10</v>
      </c>
      <c r="G5" s="158"/>
      <c r="H5" s="158"/>
      <c r="I5" s="158"/>
      <c r="J5" s="158"/>
      <c r="K5" s="158"/>
      <c r="M5" s="54"/>
      <c r="N5" s="55"/>
    </row>
    <row r="6" spans="1:14">
      <c r="A6" s="71" t="s">
        <v>11</v>
      </c>
      <c r="F6" s="159"/>
      <c r="G6" s="159"/>
      <c r="M6" s="108" t="s">
        <v>12</v>
      </c>
      <c r="N6" s="87">
        <v>2023</v>
      </c>
    </row>
    <row r="7" spans="1:14">
      <c r="E7" s="142" t="s">
        <v>13</v>
      </c>
      <c r="F7" s="106">
        <v>10</v>
      </c>
      <c r="G7" s="109" t="s">
        <v>14</v>
      </c>
      <c r="M7" s="56"/>
      <c r="N7" s="87"/>
    </row>
    <row r="8" spans="1:14">
      <c r="E8" s="142" t="s">
        <v>15</v>
      </c>
      <c r="F8" s="106">
        <v>1</v>
      </c>
      <c r="G8" s="103" t="str">
        <f>IF(F8=0,"  nee","  ja")</f>
        <v xml:space="preserve">  ja</v>
      </c>
      <c r="M8" s="90" t="s">
        <v>16</v>
      </c>
      <c r="N8" s="55"/>
    </row>
    <row r="9" spans="1:14">
      <c r="E9" s="142" t="s">
        <v>17</v>
      </c>
      <c r="F9" s="106">
        <v>0</v>
      </c>
      <c r="G9" s="103"/>
      <c r="J9" s="71"/>
      <c r="M9" s="90" t="s">
        <v>18</v>
      </c>
      <c r="N9" s="97">
        <v>542</v>
      </c>
    </row>
    <row r="10" spans="1:14">
      <c r="M10" s="90" t="s">
        <v>19</v>
      </c>
      <c r="N10" s="97">
        <v>387</v>
      </c>
    </row>
    <row r="11" spans="1:14">
      <c r="C11" s="5" t="s">
        <v>20</v>
      </c>
      <c r="E11" s="142" t="s">
        <v>21</v>
      </c>
      <c r="F11" s="15">
        <v>106</v>
      </c>
      <c r="G11" s="113">
        <f>SUM(F11/$F$14)</f>
        <v>0.45106382978723403</v>
      </c>
      <c r="M11" s="57"/>
      <c r="N11" s="55"/>
    </row>
    <row r="12" spans="1:14">
      <c r="E12" s="142" t="s">
        <v>22</v>
      </c>
      <c r="F12" s="15">
        <v>129</v>
      </c>
      <c r="G12" s="113">
        <f>SUM(F12/$F$14)</f>
        <v>0.54893617021276597</v>
      </c>
      <c r="M12" s="90" t="s">
        <v>23</v>
      </c>
      <c r="N12" s="85"/>
    </row>
    <row r="13" spans="1:14">
      <c r="E13" s="142" t="s">
        <v>24</v>
      </c>
      <c r="F13" s="112">
        <v>0</v>
      </c>
      <c r="G13" s="114">
        <f>SUM(F13/$F$14)</f>
        <v>0</v>
      </c>
      <c r="I13" s="71" t="s">
        <v>11</v>
      </c>
      <c r="M13" s="90" t="s">
        <v>25</v>
      </c>
      <c r="N13" s="105">
        <v>44927</v>
      </c>
    </row>
    <row r="14" spans="1:14">
      <c r="E14" s="142" t="s">
        <v>26</v>
      </c>
      <c r="F14" s="93">
        <f>F11+F12+F13</f>
        <v>235</v>
      </c>
      <c r="G14" s="115">
        <f>SUM(G11:G13)</f>
        <v>1</v>
      </c>
      <c r="M14" s="90" t="s">
        <v>27</v>
      </c>
      <c r="N14" s="99">
        <v>97</v>
      </c>
    </row>
    <row r="15" spans="1:14">
      <c r="M15" s="108" t="s">
        <v>28</v>
      </c>
      <c r="N15" s="85">
        <v>1</v>
      </c>
    </row>
    <row r="16" spans="1:14">
      <c r="A16" s="117" t="s">
        <v>29</v>
      </c>
      <c r="I16" s="104"/>
      <c r="J16" s="71" t="s">
        <v>11</v>
      </c>
      <c r="M16" s="90">
        <v>30</v>
      </c>
      <c r="N16" s="85">
        <v>1</v>
      </c>
    </row>
    <row r="17" spans="1:19">
      <c r="E17" s="142" t="s">
        <v>30</v>
      </c>
      <c r="F17" s="107">
        <v>30103</v>
      </c>
      <c r="H17" s="142" t="s">
        <v>31</v>
      </c>
      <c r="I17" s="45">
        <f>DATEDIF(F17,N13,"Y")</f>
        <v>40</v>
      </c>
      <c r="J17" s="71" t="s">
        <v>32</v>
      </c>
      <c r="M17" s="90">
        <v>31</v>
      </c>
      <c r="N17" s="85">
        <v>2</v>
      </c>
    </row>
    <row r="18" spans="1:19">
      <c r="E18" s="142" t="s">
        <v>33</v>
      </c>
      <c r="F18" s="2">
        <v>1</v>
      </c>
      <c r="G18" s="103" t="str">
        <f>IF(F18=0,"   Ongehuwd","   Gehuwd")</f>
        <v xml:space="preserve">   Gehuwd</v>
      </c>
      <c r="K18" s="118">
        <f>J155</f>
        <v>51490</v>
      </c>
      <c r="M18" s="90">
        <v>32</v>
      </c>
      <c r="N18" s="85">
        <v>3</v>
      </c>
    </row>
    <row r="19" spans="1:19">
      <c r="E19" s="142" t="s">
        <v>34</v>
      </c>
      <c r="F19" s="110">
        <f>_xlfn.IFS(I17&lt;=30,N16,I17=M17,N17,I17=M18,N18,I17=M19,N19,I17=M20,N20,I17=M21,N21,I17=M22,N22,I17=M23,N23,I17=M24,N24,I17=M25,N25,I17=M26,N26,I17=M27,N27,I17=M28,N28,I17=M29,N29,I17&gt;=44,N30)</f>
        <v>11</v>
      </c>
      <c r="G19" t="s">
        <v>35</v>
      </c>
      <c r="M19" s="90">
        <v>33</v>
      </c>
      <c r="N19" s="85">
        <v>4</v>
      </c>
    </row>
    <row r="20" spans="1:19">
      <c r="M20" s="90">
        <v>34</v>
      </c>
      <c r="N20" s="85">
        <v>5</v>
      </c>
    </row>
    <row r="21" spans="1:19">
      <c r="A21" s="71"/>
      <c r="E21" s="142" t="s">
        <v>36</v>
      </c>
      <c r="F21" s="2">
        <f>N75/12*F7</f>
        <v>70.833333333333329</v>
      </c>
      <c r="G21" s="71" t="s">
        <v>37</v>
      </c>
      <c r="M21" s="90">
        <v>35</v>
      </c>
      <c r="N21" s="85">
        <v>6</v>
      </c>
    </row>
    <row r="22" spans="1:19">
      <c r="E22" s="53"/>
      <c r="M22" s="90">
        <v>36</v>
      </c>
      <c r="N22" s="85">
        <v>7</v>
      </c>
    </row>
    <row r="23" spans="1:19">
      <c r="A23" s="1" t="s">
        <v>38</v>
      </c>
      <c r="M23" s="90">
        <v>37</v>
      </c>
      <c r="N23" s="85">
        <v>8</v>
      </c>
    </row>
    <row r="24" spans="1:19">
      <c r="A24" s="27" t="s">
        <v>39</v>
      </c>
      <c r="B24" s="28"/>
      <c r="C24" s="28">
        <f>N6</f>
        <v>2023</v>
      </c>
      <c r="D24" s="28"/>
      <c r="E24" s="28"/>
      <c r="F24" s="28"/>
      <c r="G24" s="152" t="s">
        <v>40</v>
      </c>
      <c r="H24" s="152"/>
      <c r="I24" s="29"/>
      <c r="J24" s="152" t="str">
        <f>"kosten bij "&amp;$F$7&amp;"/12e"</f>
        <v>kosten bij 10/12e</v>
      </c>
      <c r="K24" s="153"/>
      <c r="M24" s="90">
        <v>38</v>
      </c>
      <c r="N24" s="85">
        <v>9</v>
      </c>
    </row>
    <row r="25" spans="1:19">
      <c r="A25" s="9"/>
      <c r="G25" s="10"/>
      <c r="H25" s="10"/>
      <c r="I25" s="7"/>
      <c r="J25" s="10"/>
      <c r="K25" s="11"/>
      <c r="M25" s="90">
        <v>39</v>
      </c>
      <c r="N25" s="85">
        <v>10</v>
      </c>
    </row>
    <row r="26" spans="1:19">
      <c r="G26" s="6"/>
      <c r="H26" s="6"/>
      <c r="I26" s="6"/>
      <c r="J26" s="6"/>
      <c r="K26" s="13"/>
      <c r="M26" s="90">
        <v>40</v>
      </c>
      <c r="N26" s="85">
        <v>11</v>
      </c>
      <c r="P26" s="71"/>
      <c r="S26" s="92"/>
    </row>
    <row r="27" spans="1:19">
      <c r="A27" s="83" t="s">
        <v>41</v>
      </c>
      <c r="G27" s="6"/>
      <c r="H27" s="41">
        <f>N33</f>
        <v>4106</v>
      </c>
      <c r="I27" s="6"/>
      <c r="J27" s="6"/>
      <c r="K27" s="13">
        <f>$F$7/12*H27</f>
        <v>3421.666666666667</v>
      </c>
      <c r="M27" s="90">
        <v>41</v>
      </c>
      <c r="N27" s="85">
        <v>12</v>
      </c>
    </row>
    <row r="28" spans="1:19">
      <c r="A28" s="9"/>
      <c r="G28" s="6"/>
      <c r="H28" s="6"/>
      <c r="I28" s="6"/>
      <c r="J28" s="6"/>
      <c r="K28" s="13"/>
      <c r="M28" s="90">
        <v>42</v>
      </c>
      <c r="N28" s="85">
        <v>13</v>
      </c>
    </row>
    <row r="29" spans="1:19">
      <c r="A29" s="83" t="s">
        <v>42</v>
      </c>
      <c r="G29" s="41"/>
      <c r="H29" s="6">
        <f>N34</f>
        <v>556</v>
      </c>
      <c r="I29" s="6"/>
      <c r="K29" s="13">
        <f>$F$7/12*H29</f>
        <v>463.33333333333337</v>
      </c>
      <c r="M29" s="90">
        <v>43</v>
      </c>
      <c r="N29" s="85">
        <v>14</v>
      </c>
    </row>
    <row r="30" spans="1:19">
      <c r="A30" s="9"/>
      <c r="G30" s="6"/>
      <c r="I30" s="6"/>
      <c r="J30" s="6"/>
      <c r="K30" s="13"/>
      <c r="M30" s="90">
        <v>44</v>
      </c>
      <c r="N30" s="85">
        <v>15</v>
      </c>
      <c r="O30" s="93"/>
    </row>
    <row r="31" spans="1:19" ht="13.9" thickBot="1">
      <c r="A31" s="83" t="s">
        <v>43</v>
      </c>
      <c r="F31" s="1" t="s">
        <v>44</v>
      </c>
      <c r="G31" s="6"/>
      <c r="H31" s="8">
        <f>H27+H29</f>
        <v>4662</v>
      </c>
      <c r="I31" s="6"/>
      <c r="J31" s="6"/>
      <c r="K31" s="14">
        <f>SUM(K27:K30)</f>
        <v>3885.0000000000005</v>
      </c>
      <c r="M31" s="108" t="s">
        <v>45</v>
      </c>
      <c r="N31" s="55">
        <v>15</v>
      </c>
    </row>
    <row r="32" spans="1:19" ht="13.9" thickTop="1">
      <c r="A32" s="9"/>
      <c r="G32" s="6"/>
      <c r="H32" s="6"/>
      <c r="I32" s="6"/>
      <c r="J32" s="6"/>
      <c r="K32" s="13"/>
      <c r="M32" s="108"/>
    </row>
    <row r="33" spans="1:17">
      <c r="A33" s="12" t="s">
        <v>46</v>
      </c>
      <c r="G33" s="6"/>
      <c r="H33" s="6"/>
      <c r="I33" s="6"/>
      <c r="J33" s="6"/>
      <c r="K33" s="13"/>
      <c r="M33" s="57" t="s">
        <v>47</v>
      </c>
      <c r="N33" s="100">
        <v>4106</v>
      </c>
    </row>
    <row r="34" spans="1:17">
      <c r="A34" s="9" t="str">
        <f>IF($F$8=1,"Ambtswoning beschikbaar; geen vergoeding aan predikant","Vergoeding wegens gemis ambtswoning volgens tabel 2")</f>
        <v>Ambtswoning beschikbaar; geen vergoeding aan predikant</v>
      </c>
      <c r="G34" s="6"/>
      <c r="H34" s="6">
        <f>IF($F$8=1,0,IF($N$87=2,$F$9,$N$88))</f>
        <v>0</v>
      </c>
      <c r="I34" s="6"/>
      <c r="J34" s="6"/>
      <c r="K34" s="13">
        <f>$F$7/12*H34</f>
        <v>0</v>
      </c>
      <c r="M34" s="57" t="s">
        <v>48</v>
      </c>
      <c r="N34" s="100">
        <v>556</v>
      </c>
      <c r="Q34" s="71" t="s">
        <v>11</v>
      </c>
    </row>
    <row r="35" spans="1:17">
      <c r="A35" s="9"/>
      <c r="G35" s="6"/>
      <c r="H35" s="6"/>
      <c r="I35" s="6"/>
      <c r="J35" s="6"/>
      <c r="K35" s="13"/>
      <c r="M35" s="90" t="s">
        <v>49</v>
      </c>
      <c r="N35" s="100"/>
    </row>
    <row r="36" spans="1:17">
      <c r="A36" s="83" t="s">
        <v>50</v>
      </c>
      <c r="E36" t="str">
        <f>IF(F18=0,"Ongehuwde predikant","Gehuwde predikant")</f>
        <v>Gehuwde predikant</v>
      </c>
      <c r="H36" s="6">
        <f>IF(F18=0,N10,N9)</f>
        <v>542</v>
      </c>
      <c r="I36" s="6"/>
      <c r="K36" s="26">
        <f>$F$7/12*H36</f>
        <v>451.66666666666669</v>
      </c>
      <c r="M36" s="90" t="s">
        <v>51</v>
      </c>
      <c r="N36" s="102">
        <v>580</v>
      </c>
    </row>
    <row r="37" spans="1:17" ht="13.9" thickBot="1">
      <c r="A37" s="9" t="s">
        <v>52</v>
      </c>
      <c r="F37" s="1" t="s">
        <v>53</v>
      </c>
      <c r="G37" s="6"/>
      <c r="H37" s="8">
        <f>H34+H36</f>
        <v>542</v>
      </c>
      <c r="I37" s="6"/>
      <c r="J37" s="6"/>
      <c r="K37" s="14">
        <f>K34+K36</f>
        <v>451.66666666666669</v>
      </c>
      <c r="M37" s="90" t="s">
        <v>54</v>
      </c>
      <c r="N37" s="55"/>
    </row>
    <row r="38" spans="1:17" ht="13.9" thickTop="1">
      <c r="A38" s="9"/>
      <c r="G38" s="6"/>
      <c r="H38" s="6"/>
      <c r="I38" s="6"/>
      <c r="J38" s="6"/>
      <c r="K38" s="13"/>
      <c r="M38" s="57" t="s">
        <v>32</v>
      </c>
      <c r="N38" s="55">
        <v>2023</v>
      </c>
    </row>
    <row r="39" spans="1:17">
      <c r="A39" s="12" t="s">
        <v>55</v>
      </c>
      <c r="G39" s="6"/>
      <c r="H39" s="6"/>
      <c r="I39" s="6"/>
      <c r="J39" s="6"/>
      <c r="K39" s="13"/>
      <c r="M39" s="57" t="s">
        <v>56</v>
      </c>
      <c r="N39" s="97">
        <v>9.1</v>
      </c>
    </row>
    <row r="40" spans="1:17">
      <c r="A40" s="9"/>
      <c r="G40" s="6"/>
      <c r="H40" s="6"/>
      <c r="I40" s="6"/>
      <c r="J40" s="6"/>
      <c r="K40" s="13"/>
      <c r="M40" s="57" t="s">
        <v>57</v>
      </c>
      <c r="N40" s="97">
        <v>9.1</v>
      </c>
    </row>
    <row r="41" spans="1:17">
      <c r="A41" s="9" t="str">
        <f>"Vervoerskosten op declaratiebasis; auto: €"&amp;$N$84&amp;" per kilometer."</f>
        <v>Vervoerskosten op declaratiebasis; auto: €0,35 per kilometer.</v>
      </c>
      <c r="G41" s="6"/>
      <c r="H41" s="6"/>
      <c r="I41" s="6"/>
      <c r="J41" s="6"/>
      <c r="K41" s="13"/>
      <c r="M41" s="57" t="s">
        <v>58</v>
      </c>
      <c r="N41" s="97">
        <v>0</v>
      </c>
    </row>
    <row r="42" spans="1:17">
      <c r="A42" s="9"/>
      <c r="B42" t="s">
        <v>59</v>
      </c>
      <c r="E42" s="15">
        <v>0</v>
      </c>
      <c r="G42" s="6"/>
      <c r="H42" s="6">
        <f>$E42*$N$84</f>
        <v>0</v>
      </c>
      <c r="I42" s="6"/>
      <c r="J42" s="6"/>
      <c r="K42" s="13">
        <f>$E42*$N$84</f>
        <v>0</v>
      </c>
      <c r="M42" s="57" t="s">
        <v>60</v>
      </c>
      <c r="N42" s="89">
        <v>1300</v>
      </c>
    </row>
    <row r="43" spans="1:17">
      <c r="A43" s="9"/>
      <c r="G43" s="6"/>
      <c r="H43" s="6"/>
      <c r="I43" s="6"/>
      <c r="J43" s="6"/>
      <c r="K43" s="13"/>
      <c r="M43" s="57" t="s">
        <v>61</v>
      </c>
      <c r="N43" s="96">
        <f>N42*N39</f>
        <v>11830</v>
      </c>
    </row>
    <row r="44" spans="1:17">
      <c r="A44" s="9" t="s">
        <v>62</v>
      </c>
      <c r="C44" s="5" t="s">
        <v>63</v>
      </c>
      <c r="D44" s="16">
        <v>1200</v>
      </c>
      <c r="G44" s="6">
        <f>D44/12</f>
        <v>100</v>
      </c>
      <c r="H44" s="6"/>
      <c r="I44" s="6"/>
      <c r="J44" s="6">
        <f>$F$7/12*G44</f>
        <v>83.333333333333343</v>
      </c>
      <c r="K44" s="13"/>
      <c r="M44" s="57" t="s">
        <v>64</v>
      </c>
      <c r="N44" s="92">
        <f>F11+F12</f>
        <v>235</v>
      </c>
    </row>
    <row r="45" spans="1:17">
      <c r="A45" s="9" t="s">
        <v>65</v>
      </c>
      <c r="D45" s="16">
        <v>480</v>
      </c>
      <c r="E45" t="s">
        <v>66</v>
      </c>
      <c r="G45" s="6">
        <f>D45/12</f>
        <v>40</v>
      </c>
      <c r="H45" s="6"/>
      <c r="I45" s="6"/>
      <c r="J45" s="6">
        <f>G45</f>
        <v>40</v>
      </c>
      <c r="K45" s="13"/>
      <c r="N45" s="91"/>
    </row>
    <row r="46" spans="1:17">
      <c r="A46" s="9" t="s">
        <v>67</v>
      </c>
      <c r="D46" s="16">
        <v>600</v>
      </c>
      <c r="G46" s="6">
        <f>D46/12</f>
        <v>50</v>
      </c>
      <c r="H46" s="6"/>
      <c r="I46" s="6"/>
      <c r="J46" s="6">
        <f>$F$7/12*G46</f>
        <v>41.666666666666671</v>
      </c>
      <c r="K46" s="13"/>
      <c r="M46" s="90" t="s">
        <v>68</v>
      </c>
    </row>
    <row r="47" spans="1:17">
      <c r="A47" s="9"/>
      <c r="D47" s="16"/>
      <c r="G47" s="7"/>
      <c r="H47" s="6">
        <f>SUM(G44:G46)</f>
        <v>190</v>
      </c>
      <c r="I47" s="6"/>
      <c r="J47" s="7"/>
      <c r="K47" s="13">
        <f>SUM(J44:J46)</f>
        <v>165</v>
      </c>
      <c r="M47" s="90" t="s">
        <v>69</v>
      </c>
      <c r="N47" s="97">
        <v>18.8</v>
      </c>
    </row>
    <row r="48" spans="1:17">
      <c r="A48" s="83"/>
      <c r="G48" s="6"/>
      <c r="H48" s="6"/>
      <c r="I48" s="6"/>
      <c r="J48" s="6"/>
      <c r="K48" s="13"/>
      <c r="M48" s="90" t="s">
        <v>70</v>
      </c>
      <c r="N48" s="97">
        <v>18.8</v>
      </c>
    </row>
    <row r="49" spans="1:14">
      <c r="A49" s="83" t="s">
        <v>71</v>
      </c>
      <c r="H49" s="6">
        <v>50</v>
      </c>
      <c r="I49" s="6"/>
      <c r="J49" s="6">
        <f>$F$7/12*H49</f>
        <v>41.666666666666671</v>
      </c>
      <c r="K49" s="13">
        <f>J49</f>
        <v>41.666666666666671</v>
      </c>
      <c r="M49" s="90" t="s">
        <v>24</v>
      </c>
      <c r="N49" s="97">
        <v>0</v>
      </c>
    </row>
    <row r="50" spans="1:14">
      <c r="A50" s="9"/>
      <c r="E50" s="84"/>
      <c r="F50" s="17"/>
      <c r="G50" s="6"/>
      <c r="H50" s="6"/>
      <c r="I50" s="6"/>
      <c r="J50" s="6"/>
      <c r="K50" s="13"/>
      <c r="M50" s="57" t="s">
        <v>60</v>
      </c>
      <c r="N50" s="89">
        <v>1300</v>
      </c>
    </row>
    <row r="51" spans="1:14" ht="13.9" thickBot="1">
      <c r="A51" s="83" t="s">
        <v>72</v>
      </c>
      <c r="F51" s="1" t="s">
        <v>73</v>
      </c>
      <c r="G51" s="6"/>
      <c r="H51" s="8">
        <f>H42+H47+H49</f>
        <v>240</v>
      </c>
      <c r="I51" s="6"/>
      <c r="J51" s="6"/>
      <c r="K51" s="14">
        <f>K42+K47+K49</f>
        <v>206.66666666666669</v>
      </c>
      <c r="M51" s="90" t="s">
        <v>74</v>
      </c>
      <c r="N51" s="99">
        <f>N50*N47</f>
        <v>24440</v>
      </c>
    </row>
    <row r="52" spans="1:14" ht="13.9" thickTop="1">
      <c r="A52" s="9"/>
      <c r="G52" s="6"/>
      <c r="H52" s="6"/>
      <c r="I52" s="6"/>
      <c r="J52" s="6"/>
      <c r="K52" s="13"/>
      <c r="M52" s="57"/>
      <c r="N52" s="55"/>
    </row>
    <row r="53" spans="1:14">
      <c r="A53" s="12" t="s">
        <v>75</v>
      </c>
      <c r="G53" s="6"/>
      <c r="H53" s="6"/>
      <c r="I53" s="73"/>
      <c r="J53" s="6"/>
      <c r="K53" s="13"/>
      <c r="M53" s="90" t="s">
        <v>76</v>
      </c>
      <c r="N53" s="55"/>
    </row>
    <row r="54" spans="1:14">
      <c r="A54" s="83" t="s">
        <v>77</v>
      </c>
      <c r="G54" s="129"/>
      <c r="H54" s="6"/>
      <c r="I54" s="136"/>
      <c r="J54" s="6">
        <f>IF(I54=0,G54,$F$7/12*G54)</f>
        <v>0</v>
      </c>
      <c r="K54" s="13"/>
      <c r="M54" s="90" t="s">
        <v>78</v>
      </c>
    </row>
    <row r="55" spans="1:14">
      <c r="A55" s="83" t="s">
        <v>79</v>
      </c>
      <c r="G55" s="129"/>
      <c r="H55" s="6"/>
      <c r="I55" s="136"/>
      <c r="J55" s="6">
        <f>IF(I55=0,G55,$F$7/12*G55)</f>
        <v>0</v>
      </c>
      <c r="K55" s="13"/>
      <c r="M55" s="90" t="s">
        <v>69</v>
      </c>
      <c r="N55" s="97">
        <v>14</v>
      </c>
    </row>
    <row r="56" spans="1:14">
      <c r="A56" s="160"/>
      <c r="B56" s="161"/>
      <c r="C56" s="161"/>
      <c r="D56" s="161"/>
      <c r="E56" s="161"/>
      <c r="G56" s="129"/>
      <c r="H56" s="6"/>
      <c r="I56" s="136"/>
      <c r="J56" s="6">
        <f>IF(I56=0,G56,$F$7/12*G56)</f>
        <v>0</v>
      </c>
      <c r="K56" s="13"/>
      <c r="M56" s="90" t="s">
        <v>70</v>
      </c>
      <c r="N56" s="97">
        <v>7</v>
      </c>
    </row>
    <row r="57" spans="1:14">
      <c r="A57" s="160"/>
      <c r="B57" s="161"/>
      <c r="C57" s="161"/>
      <c r="D57" s="161"/>
      <c r="E57" s="161"/>
      <c r="G57" s="129"/>
      <c r="H57" s="6"/>
      <c r="I57" s="136"/>
      <c r="J57" s="25">
        <f>IF(I57=0,G57,$F$7/12*G57)</f>
        <v>0</v>
      </c>
      <c r="K57" s="13"/>
      <c r="M57" s="90" t="s">
        <v>24</v>
      </c>
      <c r="N57" s="97">
        <v>0</v>
      </c>
    </row>
    <row r="58" spans="1:14" ht="13.9" thickBot="1">
      <c r="A58" s="9"/>
      <c r="F58" s="1" t="s">
        <v>80</v>
      </c>
      <c r="G58" s="6"/>
      <c r="H58" s="6"/>
      <c r="I58" s="130"/>
      <c r="J58" s="6"/>
      <c r="K58" s="34">
        <f>SUM(J54:J57)</f>
        <v>0</v>
      </c>
      <c r="M58" s="57" t="s">
        <v>81</v>
      </c>
      <c r="N58" s="55"/>
    </row>
    <row r="59" spans="1:14" ht="13.9" thickTop="1">
      <c r="A59" s="9"/>
      <c r="G59" s="6"/>
      <c r="H59" s="6"/>
      <c r="I59" s="6"/>
      <c r="J59" s="6"/>
      <c r="K59" s="13"/>
      <c r="M59" s="90" t="s">
        <v>69</v>
      </c>
      <c r="N59" s="99">
        <v>1.5</v>
      </c>
    </row>
    <row r="60" spans="1:14">
      <c r="A60" s="9"/>
      <c r="G60" s="6"/>
      <c r="H60" s="6"/>
      <c r="I60" s="6"/>
      <c r="J60" s="6"/>
      <c r="K60" s="13"/>
      <c r="M60" s="90" t="s">
        <v>70</v>
      </c>
      <c r="N60" s="99">
        <v>1.5</v>
      </c>
    </row>
    <row r="61" spans="1:14" ht="15.6">
      <c r="A61" s="18" t="s">
        <v>82</v>
      </c>
      <c r="B61" s="19"/>
      <c r="C61" s="19"/>
      <c r="D61" s="19"/>
      <c r="E61" s="19"/>
      <c r="F61" s="19"/>
      <c r="G61" s="20" t="s">
        <v>83</v>
      </c>
      <c r="H61" s="21">
        <f>H31+H37+H51+H58</f>
        <v>5444</v>
      </c>
      <c r="I61" s="20"/>
      <c r="J61" s="20" t="str">
        <f>"   bij "&amp;F7&amp;"/12e:"</f>
        <v xml:space="preserve">   bij 10/12e:</v>
      </c>
      <c r="K61" s="22">
        <f>K31+K37+K51+K58</f>
        <v>4543.3333333333339</v>
      </c>
      <c r="M61" s="90" t="s">
        <v>24</v>
      </c>
      <c r="N61" s="97">
        <v>0</v>
      </c>
    </row>
    <row r="62" spans="1:14">
      <c r="A62" s="9"/>
      <c r="K62" s="31"/>
      <c r="M62" s="57"/>
      <c r="N62" s="55"/>
    </row>
    <row r="63" spans="1:14" ht="15.6">
      <c r="A63" s="32" t="s">
        <v>84</v>
      </c>
      <c r="B63" s="19"/>
      <c r="C63" s="19"/>
      <c r="D63" s="19"/>
      <c r="E63" s="19"/>
      <c r="F63" s="19"/>
      <c r="G63" s="137" t="str">
        <f>G61</f>
        <v>bij volledig:</v>
      </c>
      <c r="H63" s="21">
        <f>12*H61</f>
        <v>65328</v>
      </c>
      <c r="I63" s="20"/>
      <c r="J63" s="20" t="str">
        <f>J61</f>
        <v xml:space="preserve">   bij 10/12e:</v>
      </c>
      <c r="K63" s="22">
        <f>12*K61</f>
        <v>54520.000000000007</v>
      </c>
      <c r="M63" s="90" t="s">
        <v>85</v>
      </c>
      <c r="N63" s="55"/>
    </row>
    <row r="64" spans="1:14">
      <c r="A64" s="23"/>
      <c r="B64" s="24"/>
      <c r="C64" s="24"/>
      <c r="D64" s="24"/>
      <c r="E64" s="24"/>
      <c r="F64" s="24"/>
      <c r="G64" s="25"/>
      <c r="H64" s="25"/>
      <c r="I64" s="25"/>
      <c r="J64" s="25"/>
      <c r="K64" s="26"/>
      <c r="M64" s="119" t="s">
        <v>86</v>
      </c>
      <c r="N64" s="70">
        <v>53</v>
      </c>
    </row>
    <row r="65" spans="1:15">
      <c r="A65" s="1" t="s">
        <v>87</v>
      </c>
      <c r="M65" s="119" t="s">
        <v>88</v>
      </c>
      <c r="N65" s="70">
        <f>N64*2</f>
        <v>106</v>
      </c>
    </row>
    <row r="66" spans="1:15">
      <c r="A66" s="27" t="s">
        <v>39</v>
      </c>
      <c r="B66" s="28"/>
      <c r="C66" s="28">
        <f>$N$6</f>
        <v>2023</v>
      </c>
      <c r="D66" s="28"/>
      <c r="E66" s="28"/>
      <c r="F66" s="28"/>
      <c r="G66" s="154" t="s">
        <v>89</v>
      </c>
      <c r="H66" s="152"/>
      <c r="I66" s="29"/>
      <c r="J66" s="152" t="str">
        <f>"bij "&amp;$F$7&amp;"/12e"</f>
        <v>bij 10/12e</v>
      </c>
      <c r="K66" s="153"/>
      <c r="M66" s="119" t="s">
        <v>90</v>
      </c>
      <c r="N66" s="88">
        <v>2</v>
      </c>
    </row>
    <row r="67" spans="1:15">
      <c r="A67" s="35" t="s">
        <v>91</v>
      </c>
      <c r="G67" s="10"/>
      <c r="H67" s="10"/>
      <c r="I67" s="30"/>
      <c r="J67" s="10"/>
      <c r="K67" s="11"/>
      <c r="M67" s="119" t="s">
        <v>92</v>
      </c>
      <c r="N67" s="88">
        <v>2</v>
      </c>
    </row>
    <row r="68" spans="1:15">
      <c r="A68" s="12" t="s">
        <v>93</v>
      </c>
      <c r="G68" s="6"/>
      <c r="H68" s="6"/>
      <c r="I68" s="6"/>
      <c r="J68" s="6"/>
      <c r="K68" s="13"/>
      <c r="M68" s="119" t="s">
        <v>94</v>
      </c>
      <c r="N68" s="88">
        <v>0</v>
      </c>
    </row>
    <row r="69" spans="1:15">
      <c r="A69" s="9" t="s">
        <v>47</v>
      </c>
      <c r="G69" s="6"/>
      <c r="H69" s="6">
        <f>H27</f>
        <v>4106</v>
      </c>
      <c r="I69" s="6"/>
      <c r="J69" s="6"/>
      <c r="K69" s="13">
        <f>$F$7/12*H69</f>
        <v>3421.666666666667</v>
      </c>
      <c r="M69" s="119" t="s">
        <v>95</v>
      </c>
      <c r="N69" s="88">
        <v>1</v>
      </c>
    </row>
    <row r="70" spans="1:15">
      <c r="A70" s="9" t="s">
        <v>96</v>
      </c>
      <c r="F70" s="41"/>
      <c r="G70" s="6">
        <f>-N36</f>
        <v>-580</v>
      </c>
      <c r="J70" s="6">
        <f>G70/12*F7</f>
        <v>-483.33333333333337</v>
      </c>
      <c r="K70" s="31"/>
      <c r="M70" s="119" t="s">
        <v>97</v>
      </c>
      <c r="N70" s="88">
        <v>1</v>
      </c>
    </row>
    <row r="71" spans="1:15">
      <c r="A71" s="83" t="s">
        <v>98</v>
      </c>
      <c r="G71" s="6">
        <v>0</v>
      </c>
      <c r="J71" s="6">
        <f>G71/12*F8</f>
        <v>0</v>
      </c>
      <c r="K71" s="31"/>
      <c r="M71" s="119" t="s">
        <v>99</v>
      </c>
      <c r="N71" s="88">
        <v>2</v>
      </c>
    </row>
    <row r="72" spans="1:15" ht="12.75">
      <c r="A72" s="9"/>
      <c r="H72" s="25">
        <f>SUM(G70:G71)</f>
        <v>-580</v>
      </c>
      <c r="K72" s="26">
        <f>SUM(J70:J71)</f>
        <v>-483.33333333333337</v>
      </c>
      <c r="M72" s="119" t="s">
        <v>100</v>
      </c>
      <c r="N72" s="88">
        <v>3</v>
      </c>
      <c r="O72" s="143"/>
    </row>
    <row r="73" spans="1:15">
      <c r="A73" s="9" t="s">
        <v>101</v>
      </c>
      <c r="H73" s="6">
        <f>H69+H72</f>
        <v>3526</v>
      </c>
      <c r="K73" s="13">
        <f>K69+K72</f>
        <v>2938.3333333333335</v>
      </c>
      <c r="M73" s="119" t="s">
        <v>102</v>
      </c>
      <c r="N73" s="88">
        <v>0</v>
      </c>
    </row>
    <row r="74" spans="1:15">
      <c r="A74" s="9"/>
      <c r="K74" s="31"/>
      <c r="M74" s="120" t="s">
        <v>103</v>
      </c>
      <c r="N74" s="121">
        <f>SUM(N65:N73)</f>
        <v>117</v>
      </c>
    </row>
    <row r="75" spans="1:15">
      <c r="A75" s="12" t="s">
        <v>46</v>
      </c>
      <c r="K75" s="31"/>
      <c r="M75" s="54" t="s">
        <v>104</v>
      </c>
      <c r="N75" s="55">
        <f>N74-2*(N79+N80)</f>
        <v>85</v>
      </c>
    </row>
    <row r="76" spans="1:15">
      <c r="A76" s="9" t="str">
        <f>IF($F$8=1,"Ambtswoning beschikbaar; geen vergoeding aan predikant","Vergoeding wegens gemis ambtswoning volgens tabel 3")</f>
        <v>Ambtswoning beschikbaar; geen vergoeding aan predikant</v>
      </c>
      <c r="G76" s="6">
        <f>H34</f>
        <v>0</v>
      </c>
      <c r="J76" s="6">
        <f>K34</f>
        <v>0</v>
      </c>
      <c r="K76" s="13"/>
      <c r="M76" s="54"/>
      <c r="N76" s="55"/>
    </row>
    <row r="77" spans="1:15">
      <c r="A77" s="83" t="str">
        <f>A36</f>
        <v>Tegemoetkoming ziektekostenvoorziening</v>
      </c>
      <c r="G77" s="25">
        <f>H36</f>
        <v>542</v>
      </c>
      <c r="J77" s="25">
        <f>K36</f>
        <v>451.66666666666669</v>
      </c>
      <c r="K77" s="13"/>
      <c r="M77" s="90" t="s">
        <v>105</v>
      </c>
    </row>
    <row r="78" spans="1:15">
      <c r="A78" s="9" t="str">
        <f>A37</f>
        <v>Totaal emolumenten</v>
      </c>
      <c r="H78" s="6">
        <f>G76+G77</f>
        <v>542</v>
      </c>
      <c r="K78" s="13">
        <f>J76+J77</f>
        <v>451.66666666666669</v>
      </c>
      <c r="M78" s="90" t="s">
        <v>106</v>
      </c>
    </row>
    <row r="79" spans="1:15">
      <c r="A79" s="9"/>
      <c r="K79" s="31"/>
      <c r="M79" s="54" t="s">
        <v>107</v>
      </c>
      <c r="N79" s="61">
        <v>10</v>
      </c>
    </row>
    <row r="80" spans="1:15">
      <c r="A80" s="83" t="s">
        <v>72</v>
      </c>
      <c r="H80" s="6">
        <f>H51</f>
        <v>240</v>
      </c>
      <c r="K80" s="13">
        <f>K51</f>
        <v>206.66666666666669</v>
      </c>
      <c r="M80" s="138" t="s">
        <v>108</v>
      </c>
      <c r="N80" s="61">
        <f>IF(I17&lt;N81,6,7)</f>
        <v>6</v>
      </c>
    </row>
    <row r="81" spans="1:14">
      <c r="A81" s="9"/>
      <c r="K81" s="31"/>
      <c r="M81" s="81" t="s">
        <v>109</v>
      </c>
      <c r="N81" s="82">
        <v>50</v>
      </c>
    </row>
    <row r="82" spans="1:14">
      <c r="A82" s="9" t="s">
        <v>110</v>
      </c>
      <c r="H82" s="25">
        <f>H58</f>
        <v>0</v>
      </c>
      <c r="K82" s="26">
        <f>K58</f>
        <v>0</v>
      </c>
      <c r="M82" s="57"/>
      <c r="N82" s="55"/>
    </row>
    <row r="83" spans="1:14">
      <c r="A83" s="9"/>
      <c r="K83" s="31"/>
      <c r="M83" s="90" t="s">
        <v>111</v>
      </c>
      <c r="N83" s="98">
        <v>120</v>
      </c>
    </row>
    <row r="84" spans="1:14">
      <c r="A84" s="35" t="s">
        <v>112</v>
      </c>
      <c r="H84" s="36">
        <f>H73+H78+H80+H82</f>
        <v>4308</v>
      </c>
      <c r="K84" s="38">
        <f>K73+K78+K80+K82</f>
        <v>3596.6666666666665</v>
      </c>
      <c r="M84" s="133" t="s">
        <v>113</v>
      </c>
      <c r="N84" s="98">
        <v>0.35</v>
      </c>
    </row>
    <row r="85" spans="1:14">
      <c r="A85" s="9"/>
      <c r="K85" s="31"/>
      <c r="M85" s="60"/>
      <c r="N85" s="61"/>
    </row>
    <row r="86" spans="1:14">
      <c r="A86" s="35" t="s">
        <v>114</v>
      </c>
      <c r="K86" s="31"/>
      <c r="M86" s="90" t="s">
        <v>115</v>
      </c>
      <c r="N86" s="61"/>
    </row>
    <row r="87" spans="1:14">
      <c r="A87" s="12" t="s">
        <v>116</v>
      </c>
      <c r="K87" s="31"/>
      <c r="M87" s="72" t="s">
        <v>117</v>
      </c>
      <c r="N87">
        <f>IF(F8=1,0,IF(F9=0,1,2))</f>
        <v>0</v>
      </c>
    </row>
    <row r="88" spans="1:14">
      <c r="A88" s="9" t="s">
        <v>118</v>
      </c>
      <c r="C88" s="86">
        <f>F19</f>
        <v>11</v>
      </c>
      <c r="D88" t="s">
        <v>119</v>
      </c>
      <c r="E88" s="33">
        <f>N14</f>
        <v>97</v>
      </c>
      <c r="G88" s="1"/>
      <c r="H88" s="36">
        <f>C88*E88</f>
        <v>1067</v>
      </c>
      <c r="K88" s="38">
        <f>$F$7/12*C88*E88</f>
        <v>889.16666666666674</v>
      </c>
      <c r="M88" s="60" t="s">
        <v>120</v>
      </c>
      <c r="N88" s="97">
        <v>1000</v>
      </c>
    </row>
    <row r="89" spans="1:14">
      <c r="A89" s="9"/>
      <c r="K89" s="31"/>
      <c r="M89" s="75"/>
      <c r="N89" s="76"/>
    </row>
    <row r="90" spans="1:14">
      <c r="A90" s="83" t="s">
        <v>121</v>
      </c>
      <c r="H90" s="37">
        <f>H84+H88</f>
        <v>5375</v>
      </c>
      <c r="K90" s="39">
        <f>K84+K88</f>
        <v>4485.833333333333</v>
      </c>
      <c r="M90" s="75"/>
      <c r="N90" s="76"/>
    </row>
    <row r="91" spans="1:14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40"/>
      <c r="M91" s="75"/>
      <c r="N91" s="76"/>
    </row>
    <row r="92" spans="1:14">
      <c r="M92" s="77"/>
      <c r="N92" s="78"/>
    </row>
    <row r="94" spans="1:14">
      <c r="A94" s="42" t="s">
        <v>122</v>
      </c>
      <c r="B94" s="43"/>
      <c r="C94" s="43"/>
      <c r="D94" s="43"/>
      <c r="E94" s="43"/>
      <c r="F94" s="43"/>
      <c r="G94" s="43"/>
      <c r="H94" s="43"/>
      <c r="I94" s="43"/>
      <c r="J94" s="44"/>
    </row>
    <row r="95" spans="1:14">
      <c r="J95" s="31"/>
    </row>
    <row r="96" spans="1:14">
      <c r="A96" s="162" t="str">
        <f>"Totaal kosten predikant per jaar ("&amp;$N$6&amp;")"</f>
        <v>Totaal kosten predikant per jaar (2023)</v>
      </c>
      <c r="B96" s="163"/>
      <c r="C96" s="163"/>
      <c r="D96" s="163"/>
      <c r="E96" s="163"/>
      <c r="J96" s="13">
        <f>K63</f>
        <v>54520.000000000007</v>
      </c>
    </row>
    <row r="97" spans="1:10">
      <c r="A97" s="9"/>
      <c r="B97" t="str">
        <f>"Aantal diensten in "&amp;$N$6&amp;":"</f>
        <v>Aantal diensten in 2023:</v>
      </c>
      <c r="F97">
        <f>N74</f>
        <v>117</v>
      </c>
      <c r="J97" s="13"/>
    </row>
    <row r="98" spans="1:10">
      <c r="A98" s="9"/>
      <c r="B98" t="str">
        <f>"af: Aantal preekbeurten eigen predikant: "</f>
        <v xml:space="preserve">af: Aantal preekbeurten eigen predikant: </v>
      </c>
      <c r="F98" s="111">
        <f>F21</f>
        <v>70.833333333333329</v>
      </c>
      <c r="J98" s="13"/>
    </row>
    <row r="99" spans="1:10">
      <c r="A99" s="162" t="s">
        <v>123</v>
      </c>
      <c r="B99" s="163"/>
      <c r="C99" s="163"/>
      <c r="D99" s="163"/>
      <c r="E99" s="163"/>
      <c r="F99">
        <f>F97-F98</f>
        <v>46.166666666666671</v>
      </c>
      <c r="G99" s="45" t="s">
        <v>124</v>
      </c>
      <c r="H99" s="33">
        <f>N83</f>
        <v>120</v>
      </c>
      <c r="J99" s="13">
        <f>F99*H99</f>
        <v>5540.0000000000009</v>
      </c>
    </row>
    <row r="100" spans="1:10">
      <c r="A100" s="83" t="s">
        <v>125</v>
      </c>
      <c r="F100" s="3">
        <v>0</v>
      </c>
      <c r="G100" s="101" t="s">
        <v>126</v>
      </c>
      <c r="H100" s="134">
        <f>N84</f>
        <v>0.35</v>
      </c>
      <c r="I100" s="45" t="s">
        <v>127</v>
      </c>
      <c r="J100" s="13">
        <f>F100*H100</f>
        <v>0</v>
      </c>
    </row>
    <row r="101" spans="1:10">
      <c r="A101" s="164" t="s">
        <v>128</v>
      </c>
      <c r="B101" s="161"/>
      <c r="C101" s="161"/>
      <c r="D101" s="161"/>
      <c r="E101" s="161"/>
      <c r="J101" s="50"/>
    </row>
    <row r="102" spans="1:10">
      <c r="A102" s="165" t="s">
        <v>128</v>
      </c>
      <c r="B102" s="166"/>
      <c r="C102" s="166"/>
      <c r="D102" s="166"/>
      <c r="E102" s="166"/>
      <c r="J102" s="50"/>
    </row>
    <row r="103" spans="1:10">
      <c r="A103" s="79"/>
      <c r="B103" s="53"/>
      <c r="C103" s="53"/>
      <c r="D103" s="53"/>
      <c r="E103" s="53"/>
      <c r="J103" s="80"/>
    </row>
    <row r="104" spans="1:10">
      <c r="A104" s="79" t="s">
        <v>129</v>
      </c>
      <c r="B104" s="53"/>
      <c r="C104" s="53"/>
      <c r="D104" s="53"/>
      <c r="E104" s="53"/>
      <c r="J104" s="80">
        <f>SUM(J99:J102)</f>
        <v>5540.0000000000009</v>
      </c>
    </row>
    <row r="105" spans="1:10">
      <c r="A105" s="9"/>
      <c r="J105" s="31"/>
    </row>
    <row r="106" spans="1:10">
      <c r="A106" s="46" t="s">
        <v>130</v>
      </c>
      <c r="B106" s="24"/>
      <c r="C106" s="24"/>
      <c r="D106" s="24"/>
      <c r="E106" s="47">
        <f>$N$6</f>
        <v>2023</v>
      </c>
      <c r="F106" s="24"/>
      <c r="G106" s="24"/>
      <c r="H106" s="24"/>
      <c r="I106" s="24"/>
      <c r="J106" s="48">
        <f>SUM(J96:J102)</f>
        <v>60060.000000000007</v>
      </c>
    </row>
    <row r="109" spans="1:10">
      <c r="A109" s="42" t="s">
        <v>131</v>
      </c>
      <c r="B109" s="43"/>
      <c r="C109" s="43"/>
      <c r="D109" s="43"/>
      <c r="E109" s="43"/>
      <c r="F109" s="43"/>
      <c r="G109" s="43"/>
      <c r="H109" s="43"/>
      <c r="I109" s="43"/>
      <c r="J109" s="44"/>
    </row>
    <row r="110" spans="1:10">
      <c r="A110" s="9"/>
      <c r="J110" s="31"/>
    </row>
    <row r="111" spans="1:10">
      <c r="A111" s="9" t="s">
        <v>132</v>
      </c>
      <c r="F111" s="101" t="s">
        <v>133</v>
      </c>
      <c r="H111" s="45" t="s">
        <v>134</v>
      </c>
      <c r="I111" s="144" t="s">
        <v>135</v>
      </c>
      <c r="J111" s="167"/>
    </row>
    <row r="112" spans="1:10">
      <c r="A112" s="9"/>
      <c r="I112" s="9"/>
      <c r="J112" s="31"/>
    </row>
    <row r="113" spans="1:12">
      <c r="A113" s="83" t="s">
        <v>136</v>
      </c>
      <c r="I113" s="9"/>
      <c r="J113" s="31"/>
    </row>
    <row r="114" spans="1:12">
      <c r="A114" s="9"/>
      <c r="B114" t="str">
        <f>$F$11&amp;" belijdende leden en "&amp;$F$12&amp;" doopleden "</f>
        <v xml:space="preserve">106 belijdende leden en 129 doopleden </v>
      </c>
      <c r="F114" s="101" t="s">
        <v>137</v>
      </c>
      <c r="H114" s="6">
        <f>IF(F14&lt;N50,F11*N47+F12*N48,N51)</f>
        <v>4418</v>
      </c>
      <c r="I114" s="9" t="str">
        <f>IF(H114&gt;=N51,"Maximum"," ")</f>
        <v xml:space="preserve"> </v>
      </c>
      <c r="J114" s="13">
        <f>H114</f>
        <v>4418</v>
      </c>
      <c r="L114" s="135"/>
    </row>
    <row r="115" spans="1:12">
      <c r="A115" s="9"/>
      <c r="F115" s="45"/>
      <c r="H115" s="6"/>
      <c r="I115" s="9"/>
      <c r="J115" s="13"/>
    </row>
    <row r="116" spans="1:12">
      <c r="A116" s="83" t="s">
        <v>138</v>
      </c>
      <c r="I116" s="9"/>
      <c r="J116" s="31"/>
    </row>
    <row r="117" spans="1:12">
      <c r="A117" s="9"/>
      <c r="B117" t="str">
        <f>$F$11&amp;" belijdende leden en "&amp;$F$12&amp;" doopleden "</f>
        <v xml:space="preserve">106 belijdende leden en 129 doopleden </v>
      </c>
      <c r="H117" s="6">
        <f>IF(I16&lt;N42,F11*N40+F12*N39,N43)</f>
        <v>2138.5</v>
      </c>
      <c r="I117" s="9" t="str">
        <f>IF(H117&gt;=N43,"Maximum"," ")</f>
        <v xml:space="preserve"> </v>
      </c>
      <c r="J117" s="31"/>
    </row>
    <row r="118" spans="1:12">
      <c r="A118" s="9"/>
      <c r="B118" t="s">
        <v>139</v>
      </c>
      <c r="H118" s="25">
        <f>-J70*12</f>
        <v>5800</v>
      </c>
      <c r="I118" s="9"/>
      <c r="J118" s="31"/>
    </row>
    <row r="119" spans="1:12">
      <c r="A119" s="9"/>
      <c r="B119" s="71"/>
      <c r="F119" s="101" t="s">
        <v>140</v>
      </c>
      <c r="H119" s="6">
        <f>SUM(H117:H118)</f>
        <v>7938.5</v>
      </c>
      <c r="I119" s="9"/>
      <c r="J119" s="13">
        <f>H117</f>
        <v>2138.5</v>
      </c>
    </row>
    <row r="120" spans="1:12">
      <c r="A120" s="9"/>
      <c r="I120" s="9"/>
      <c r="J120" s="31"/>
    </row>
    <row r="121" spans="1:12">
      <c r="A121" s="83" t="s">
        <v>141</v>
      </c>
      <c r="I121" s="9"/>
      <c r="J121" s="31"/>
    </row>
    <row r="122" spans="1:12">
      <c r="A122" s="9"/>
      <c r="B122" t="str">
        <f>$F$11&amp;" belijdende leden en "&amp;$F$12&amp;" doopleden "</f>
        <v xml:space="preserve">106 belijdende leden en 129 doopleden </v>
      </c>
      <c r="H122" s="6">
        <f>F11*N55+F12*N56</f>
        <v>2387</v>
      </c>
      <c r="I122" s="52"/>
      <c r="J122" s="49"/>
    </row>
    <row r="123" spans="1:12">
      <c r="A123" s="9"/>
      <c r="B123" t="s">
        <v>142</v>
      </c>
      <c r="H123" s="131" t="s">
        <v>143</v>
      </c>
      <c r="I123" s="132"/>
      <c r="J123" s="13"/>
    </row>
    <row r="124" spans="1:12">
      <c r="A124" s="9"/>
      <c r="B124" s="71"/>
      <c r="F124" s="101" t="s">
        <v>144</v>
      </c>
      <c r="H124" s="6">
        <f>H122</f>
        <v>2387</v>
      </c>
      <c r="I124" s="9"/>
      <c r="J124" s="13">
        <f>H124</f>
        <v>2387</v>
      </c>
    </row>
    <row r="125" spans="1:12">
      <c r="A125" s="9"/>
      <c r="G125" s="5"/>
      <c r="H125" s="6"/>
      <c r="I125" s="9"/>
      <c r="J125" s="13"/>
    </row>
    <row r="126" spans="1:12">
      <c r="A126" s="9" t="s">
        <v>145</v>
      </c>
      <c r="H126" s="6"/>
      <c r="I126" s="9"/>
      <c r="J126" s="13"/>
    </row>
    <row r="127" spans="1:12">
      <c r="A127" s="9"/>
      <c r="B127" t="str">
        <f>$F$11&amp;" belijdende leden en "&amp;$F$12&amp;" doopleden "</f>
        <v xml:space="preserve">106 belijdende leden en 129 doopleden </v>
      </c>
      <c r="F127" s="101" t="s">
        <v>146</v>
      </c>
      <c r="G127" s="74">
        <f>$F$11*N59+$F$12*N60+$F$13*N61</f>
        <v>352.5</v>
      </c>
      <c r="H127" s="6"/>
      <c r="I127" s="9"/>
      <c r="J127" s="13"/>
    </row>
    <row r="128" spans="1:12">
      <c r="A128" s="9"/>
      <c r="B128" s="139" t="s">
        <v>147</v>
      </c>
      <c r="F128" s="45"/>
      <c r="G128" s="6"/>
      <c r="H128" s="6"/>
      <c r="I128" s="9"/>
      <c r="J128" s="13"/>
    </row>
    <row r="129" spans="1:10">
      <c r="A129" s="9"/>
      <c r="I129" s="9"/>
      <c r="J129" s="49"/>
    </row>
    <row r="130" spans="1:10">
      <c r="A130" s="46" t="s">
        <v>148</v>
      </c>
      <c r="B130" s="24"/>
      <c r="C130" s="24"/>
      <c r="D130" s="24"/>
      <c r="E130" s="24"/>
      <c r="F130" s="24"/>
      <c r="G130" s="24"/>
      <c r="H130" s="51">
        <f>H114+H119+H124</f>
        <v>14743.5</v>
      </c>
      <c r="I130" s="23"/>
      <c r="J130" s="48">
        <f>J114+J119+J124</f>
        <v>8943.5</v>
      </c>
    </row>
    <row r="132" spans="1:10" ht="15.6">
      <c r="A132" s="168" t="s">
        <v>149</v>
      </c>
      <c r="B132" s="169"/>
      <c r="C132" s="169"/>
      <c r="D132" s="169"/>
      <c r="E132" s="169"/>
      <c r="F132" s="169"/>
      <c r="G132" s="169"/>
      <c r="H132" s="169"/>
      <c r="I132" s="58"/>
      <c r="J132" s="59">
        <f>J106+J130</f>
        <v>69003.5</v>
      </c>
    </row>
    <row r="133" spans="1:10">
      <c r="A133" s="9"/>
      <c r="I133" s="45" t="s">
        <v>150</v>
      </c>
      <c r="J133" s="62" t="s">
        <v>151</v>
      </c>
    </row>
    <row r="134" spans="1:10">
      <c r="A134" s="9" t="s">
        <v>152</v>
      </c>
      <c r="I134" s="10">
        <f>J132/(F11+F12)</f>
        <v>293.63191489361702</v>
      </c>
      <c r="J134" s="63">
        <f>F11+F12</f>
        <v>235</v>
      </c>
    </row>
    <row r="135" spans="1:10">
      <c r="A135" s="23" t="s">
        <v>153</v>
      </c>
      <c r="B135" s="24"/>
      <c r="C135" s="24"/>
      <c r="D135" s="24"/>
      <c r="E135" s="24"/>
      <c r="F135" s="24"/>
      <c r="G135" s="24"/>
      <c r="H135" s="24"/>
      <c r="I135" s="65">
        <f>J132/(F11+0.5*F12)</f>
        <v>404.71260997067446</v>
      </c>
      <c r="J135" s="64">
        <f>F11+0.5*F12</f>
        <v>170.5</v>
      </c>
    </row>
    <row r="137" spans="1:10" ht="15.6">
      <c r="A137" s="170" t="s">
        <v>154</v>
      </c>
      <c r="B137" s="171"/>
      <c r="C137" s="171"/>
      <c r="D137" s="171"/>
      <c r="E137" s="171"/>
      <c r="F137" s="171"/>
      <c r="G137" s="171"/>
      <c r="H137" s="171"/>
      <c r="I137" s="128"/>
      <c r="J137" s="127"/>
    </row>
    <row r="138" spans="1:10">
      <c r="A138" s="122" t="s">
        <v>155</v>
      </c>
      <c r="B138" s="123"/>
      <c r="C138" s="123"/>
      <c r="D138" s="123"/>
      <c r="E138" s="123"/>
      <c r="F138" s="123"/>
      <c r="G138" s="123"/>
      <c r="H138" s="123"/>
      <c r="I138" s="123"/>
      <c r="J138" s="124"/>
    </row>
    <row r="139" spans="1:10">
      <c r="A139" s="122" t="s">
        <v>156</v>
      </c>
      <c r="B139" s="123"/>
      <c r="C139" s="123"/>
      <c r="D139" s="123"/>
      <c r="E139" s="123"/>
      <c r="F139" s="123"/>
      <c r="G139" s="123"/>
      <c r="H139" s="123"/>
      <c r="I139" s="123"/>
      <c r="J139" s="124"/>
    </row>
    <row r="140" spans="1:10">
      <c r="A140" s="122" t="s">
        <v>157</v>
      </c>
      <c r="B140" s="123"/>
      <c r="C140" s="123"/>
      <c r="D140" s="123"/>
      <c r="E140" s="123"/>
      <c r="F140" s="123"/>
      <c r="G140" s="123"/>
      <c r="H140" s="123"/>
      <c r="I140" s="123"/>
      <c r="J140" s="124"/>
    </row>
    <row r="141" spans="1:10">
      <c r="A141" s="125" t="s">
        <v>158</v>
      </c>
      <c r="B141" s="123"/>
      <c r="C141" s="123"/>
      <c r="D141" s="123"/>
      <c r="E141" s="123"/>
      <c r="F141" s="123"/>
      <c r="G141" s="123"/>
      <c r="H141" s="123"/>
      <c r="I141" s="123"/>
      <c r="J141" s="124"/>
    </row>
    <row r="142" spans="1:10">
      <c r="A142" s="125" t="s">
        <v>159</v>
      </c>
      <c r="B142" s="123"/>
      <c r="C142" s="123"/>
      <c r="D142" s="123"/>
      <c r="E142" s="123"/>
      <c r="F142" s="123"/>
      <c r="G142" s="123"/>
      <c r="H142" s="123"/>
      <c r="I142" s="123"/>
      <c r="J142" s="124"/>
    </row>
    <row r="143" spans="1:10">
      <c r="A143" s="122" t="s">
        <v>160</v>
      </c>
      <c r="B143" s="123"/>
      <c r="C143" s="123"/>
      <c r="D143" s="123"/>
      <c r="E143" s="123"/>
      <c r="F143" s="123"/>
      <c r="G143" s="123"/>
      <c r="H143" s="123"/>
      <c r="I143" s="123"/>
      <c r="J143" s="124"/>
    </row>
    <row r="144" spans="1:10">
      <c r="A144" s="126" t="s">
        <v>161</v>
      </c>
      <c r="B144" s="123"/>
      <c r="C144" s="123"/>
      <c r="D144" s="123"/>
      <c r="E144" s="123"/>
      <c r="F144" s="123"/>
      <c r="G144" s="123"/>
      <c r="H144" s="123"/>
      <c r="I144" s="123"/>
      <c r="J144" s="124"/>
    </row>
    <row r="145" spans="1:10">
      <c r="A145" s="122" t="s">
        <v>162</v>
      </c>
      <c r="B145" s="123"/>
      <c r="C145" s="123"/>
      <c r="D145" s="123"/>
      <c r="E145" s="123"/>
      <c r="F145" s="123"/>
      <c r="G145" s="123"/>
      <c r="H145" s="123"/>
      <c r="I145" s="123"/>
      <c r="J145" s="124"/>
    </row>
    <row r="146" spans="1:10">
      <c r="A146" s="9"/>
      <c r="H146" t="s">
        <v>163</v>
      </c>
      <c r="J146" s="31" t="s">
        <v>164</v>
      </c>
    </row>
    <row r="147" spans="1:10">
      <c r="A147" s="9"/>
      <c r="J147" s="31"/>
    </row>
    <row r="148" spans="1:10">
      <c r="A148" s="83" t="s">
        <v>47</v>
      </c>
      <c r="H148" s="6">
        <f>K27</f>
        <v>3421.666666666667</v>
      </c>
      <c r="I148" s="6"/>
      <c r="J148" s="13">
        <f>H148*12</f>
        <v>41060</v>
      </c>
    </row>
    <row r="149" spans="1:10">
      <c r="A149" s="9" t="s">
        <v>165</v>
      </c>
      <c r="C149" s="94"/>
      <c r="H149" s="6">
        <f>K88</f>
        <v>889.16666666666674</v>
      </c>
      <c r="I149" s="6"/>
      <c r="J149" s="13">
        <f>H149*12</f>
        <v>10670</v>
      </c>
    </row>
    <row r="150" spans="1:10">
      <c r="A150" s="9" t="s">
        <v>166</v>
      </c>
      <c r="H150" s="25">
        <f>J70</f>
        <v>-483.33333333333337</v>
      </c>
      <c r="I150" s="6"/>
      <c r="J150" s="13">
        <f>H150*12</f>
        <v>-5800</v>
      </c>
    </row>
    <row r="151" spans="1:10">
      <c r="A151" s="9"/>
      <c r="D151" s="66" t="s">
        <v>167</v>
      </c>
      <c r="H151" s="67">
        <f>H148+H149+H150</f>
        <v>3827.5000000000005</v>
      </c>
      <c r="I151" s="6"/>
      <c r="J151" s="13"/>
    </row>
    <row r="152" spans="1:10">
      <c r="A152" s="83" t="s">
        <v>168</v>
      </c>
      <c r="H152" s="6"/>
      <c r="I152" s="6"/>
      <c r="J152" s="13">
        <f>K29*12</f>
        <v>5560</v>
      </c>
    </row>
    <row r="153" spans="1:10">
      <c r="A153" s="9" t="str">
        <f>IF($F$8=1,"Ambtswoning beschikbaar; geen vergoeding aan predikant","Vergoeding wegens gemis ambtswoning volgens tabel 2")</f>
        <v>Ambtswoning beschikbaar; geen vergoeding aan predikant</v>
      </c>
      <c r="H153" s="6">
        <f>IF($F$8=1,0,IF($N$87=2,$F$9,$N$88))</f>
        <v>0</v>
      </c>
      <c r="I153" s="6"/>
      <c r="J153" s="13">
        <f>H153*12</f>
        <v>0</v>
      </c>
    </row>
    <row r="154" spans="1:10">
      <c r="A154" s="9"/>
      <c r="H154" s="6"/>
      <c r="I154" s="6"/>
      <c r="J154" s="26"/>
    </row>
    <row r="155" spans="1:10">
      <c r="A155" s="9"/>
      <c r="D155" s="66" t="s">
        <v>169</v>
      </c>
      <c r="H155" s="6"/>
      <c r="I155" s="6"/>
      <c r="J155" s="68">
        <f>SUM(J148:J153)</f>
        <v>51490</v>
      </c>
    </row>
    <row r="156" spans="1:10">
      <c r="A156" s="9"/>
      <c r="J156" s="13"/>
    </row>
    <row r="157" spans="1:10">
      <c r="A157" s="9" t="s">
        <v>170</v>
      </c>
      <c r="H157" s="6">
        <f>J77</f>
        <v>451.66666666666669</v>
      </c>
      <c r="I157" s="6"/>
      <c r="J157" s="26">
        <f>H157*12</f>
        <v>5420</v>
      </c>
    </row>
    <row r="158" spans="1:10">
      <c r="A158" s="9"/>
      <c r="H158" s="6"/>
      <c r="I158" s="6"/>
      <c r="J158" s="13"/>
    </row>
    <row r="159" spans="1:10">
      <c r="A159" s="35" t="s">
        <v>171</v>
      </c>
      <c r="H159" s="6"/>
      <c r="I159" s="6"/>
      <c r="J159" s="38">
        <f>J155+J157</f>
        <v>56910</v>
      </c>
    </row>
    <row r="160" spans="1:10">
      <c r="A160" s="35"/>
      <c r="H160" s="6"/>
      <c r="I160" s="6"/>
      <c r="J160" s="13"/>
    </row>
    <row r="161" spans="1:10">
      <c r="A161" s="35" t="s">
        <v>172</v>
      </c>
      <c r="H161" s="6"/>
      <c r="I161" s="6"/>
      <c r="J161" s="13"/>
    </row>
    <row r="162" spans="1:10">
      <c r="A162" s="35"/>
      <c r="H162" s="6"/>
      <c r="I162" s="6"/>
      <c r="J162" s="13"/>
    </row>
    <row r="163" spans="1:10">
      <c r="A163" s="35"/>
      <c r="B163" t="s">
        <v>173</v>
      </c>
      <c r="H163" s="6">
        <f>K42</f>
        <v>0</v>
      </c>
      <c r="I163" s="6"/>
      <c r="J163" s="13">
        <f t="shared" ref="J163:J169" si="0">H163*12</f>
        <v>0</v>
      </c>
    </row>
    <row r="164" spans="1:10">
      <c r="A164" s="35"/>
      <c r="B164" t="s">
        <v>174</v>
      </c>
      <c r="H164" s="6">
        <f>K47</f>
        <v>165</v>
      </c>
      <c r="I164" s="6"/>
      <c r="J164" s="13">
        <f t="shared" si="0"/>
        <v>1980</v>
      </c>
    </row>
    <row r="165" spans="1:10">
      <c r="A165" s="9"/>
      <c r="B165" s="71" t="s">
        <v>175</v>
      </c>
      <c r="H165" s="6">
        <f>K49</f>
        <v>41.666666666666671</v>
      </c>
      <c r="I165" s="6"/>
      <c r="J165" s="13">
        <f t="shared" si="0"/>
        <v>500.00000000000006</v>
      </c>
    </row>
    <row r="166" spans="1:10">
      <c r="A166" s="9"/>
      <c r="B166" t="s">
        <v>176</v>
      </c>
      <c r="H166" s="6">
        <f>+J54</f>
        <v>0</v>
      </c>
      <c r="I166" s="6"/>
      <c r="J166" s="13">
        <f t="shared" si="0"/>
        <v>0</v>
      </c>
    </row>
    <row r="167" spans="1:10">
      <c r="A167" s="9"/>
      <c r="B167" t="s">
        <v>176</v>
      </c>
      <c r="H167" s="6">
        <f>+J55</f>
        <v>0</v>
      </c>
      <c r="I167" s="6"/>
      <c r="J167" s="13">
        <f t="shared" si="0"/>
        <v>0</v>
      </c>
    </row>
    <row r="168" spans="1:10">
      <c r="A168" s="9"/>
      <c r="B168">
        <f>A56</f>
        <v>0</v>
      </c>
      <c r="H168" s="6">
        <f>+J56</f>
        <v>0</v>
      </c>
      <c r="I168" s="6"/>
      <c r="J168" s="13">
        <f t="shared" si="0"/>
        <v>0</v>
      </c>
    </row>
    <row r="169" spans="1:10">
      <c r="A169" s="9"/>
      <c r="B169">
        <f>A57</f>
        <v>0</v>
      </c>
      <c r="H169" s="6">
        <f>+J57</f>
        <v>0</v>
      </c>
      <c r="I169" s="6"/>
      <c r="J169" s="26">
        <f t="shared" si="0"/>
        <v>0</v>
      </c>
    </row>
    <row r="170" spans="1:10">
      <c r="A170" s="9"/>
      <c r="D170" s="66" t="s">
        <v>177</v>
      </c>
      <c r="H170" s="6"/>
      <c r="I170" s="6"/>
      <c r="J170" s="68">
        <f>SUM(J163:J169)</f>
        <v>2480</v>
      </c>
    </row>
    <row r="171" spans="1:10">
      <c r="A171" s="9"/>
      <c r="J171" s="13"/>
    </row>
    <row r="172" spans="1:10">
      <c r="A172" s="9"/>
      <c r="H172" s="6"/>
      <c r="I172" s="6"/>
      <c r="J172" s="13"/>
    </row>
    <row r="173" spans="1:10" ht="15.6">
      <c r="A173" s="46" t="s">
        <v>178</v>
      </c>
      <c r="B173" s="24"/>
      <c r="C173" s="24"/>
      <c r="D173" s="24"/>
      <c r="E173" s="24"/>
      <c r="F173" s="24"/>
      <c r="G173" s="24"/>
      <c r="H173" s="25"/>
      <c r="I173" s="25"/>
      <c r="J173" s="69">
        <f>J159+J170</f>
        <v>59390</v>
      </c>
    </row>
  </sheetData>
  <mergeCells count="20">
    <mergeCell ref="M2:N2"/>
    <mergeCell ref="M3:N3"/>
    <mergeCell ref="M4:N4"/>
    <mergeCell ref="A99:E99"/>
    <mergeCell ref="I1:K1"/>
    <mergeCell ref="J3:K3"/>
    <mergeCell ref="F5:K5"/>
    <mergeCell ref="F6:G6"/>
    <mergeCell ref="G24:H24"/>
    <mergeCell ref="J24:K24"/>
    <mergeCell ref="A56:E56"/>
    <mergeCell ref="A57:E57"/>
    <mergeCell ref="G66:H66"/>
    <mergeCell ref="J66:K66"/>
    <mergeCell ref="A96:E96"/>
    <mergeCell ref="A137:H137"/>
    <mergeCell ref="A132:H132"/>
    <mergeCell ref="A101:E101"/>
    <mergeCell ref="A102:E102"/>
    <mergeCell ref="I111:J111"/>
  </mergeCells>
  <phoneticPr fontId="3" type="noConversion"/>
  <dataValidations count="5">
    <dataValidation type="whole" allowBlank="1" showInputMessage="1" showErrorMessage="1" errorTitle="Foute invoer Ja-Nee vraag" error="Voer een 0 (nul) in als het &quot;Nee&quot; is;_x000a_Voer een 1 (een) in als het &quot;Ja&quot; is." sqref="F8" xr:uid="{00000000-0002-0000-0000-000000000000}">
      <formula1>0</formula1>
      <formula2>1</formula2>
    </dataValidation>
    <dataValidation type="whole" allowBlank="1" showInputMessage="1" showErrorMessage="1" errorTitle="Foute invoer Ja-Nee vraag" error="Voer een 0 in als het &quot;Nee&quot; is;_x000a_Voer een 1 in als het &quot;Ja&quot; is." sqref="F18" xr:uid="{00000000-0002-0000-0000-000001000000}">
      <formula1>0</formula1>
      <formula2>1</formula2>
    </dataValidation>
    <dataValidation type="whole" allowBlank="1" showInputMessage="1" showErrorMessage="1" errorTitle="Onjuiste invoer" error="*FOUT*_x000a_Invoeren: nee = 0_x000a_                 ja    = 1" sqref="I54:I57" xr:uid="{00000000-0002-0000-0000-000002000000}">
      <formula1>0</formula1>
      <formula2>1</formula2>
    </dataValidation>
    <dataValidation type="whole" allowBlank="1" showInputMessage="1" showErrorMessage="1" errorTitle="Foute invoer bedrag-vraag" error="Voer een 0 (nul) in bij standaardvergoeding;_x000a_Voer bedrag in bij afwijkende vergoeding. Vergoeding mag niet groter zijn dan maximum bedrag volgens Gen.Regeling." promptTitle="0 of bedrag" prompt="Alleen invullen wanneer GEEN ambtswoning beschikbaar is._x000a__x000a_Voer hier een 0 (nul) in wanneer het maximum bedrag volgens de Generale Regeling moet worden toegepast. _x000a_Voer een bedrag in hele € in, wanneer een lager bedrag van toepassing is." sqref="F9" xr:uid="{00000000-0002-0000-0000-000003000000}">
      <formula1>0</formula1>
      <formula2>N88</formula2>
    </dataValidation>
    <dataValidation type="whole" allowBlank="1" showInputMessage="1" showErrorMessage="1" errorTitle="Fout Aantal Periodieken" error="Vul een geheel getal in. Minimaal 0, maximaal 15." sqref="F19" xr:uid="{00000000-0002-0000-0000-000004000000}">
      <formula1>0</formula1>
      <formula2>15</formula2>
    </dataValidation>
  </dataValidations>
  <pageMargins left="0.75" right="0.75" top="1" bottom="1" header="0.5" footer="0.5"/>
  <pageSetup paperSize="9" scale="71" orientation="portrait" r:id="rId1"/>
  <headerFooter alignWithMargins="0"/>
  <rowBreaks count="2" manualBreakCount="2">
    <brk id="63" max="10" man="1"/>
    <brk id="135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5e2d06a2-e894-4fc0-9219-8ef4d89372f1">2019</Jaar>
    <Gemeente xmlns="5e2d06a2-e894-4fc0-9219-8ef4d89372f1">Kerkelijk bureau</Gemeente>
    <Tweede_x0020_onderwerp xmlns="cd6d25ef-2f84-4535-96a0-8d68ef2dfb43" xsi:nil="true"/>
    <Derde_x0020_onderwerp xmlns="cd6d25ef-2f84-4535-96a0-8d68ef2dfb43" xsi:nil="true"/>
    <Hoofdonderwerp xmlns="cd6d25ef-2f84-4535-96a0-8d68ef2dfb43">modelbegroting</Hoofdonderwerp>
    <Uitgave xmlns="cd6d25ef-2f84-4535-96a0-8d68ef2dfb43">01</Uitgave>
    <SharedWithUsers xmlns="4867ccec-2b53-4375-a4ca-8980060510b4">
      <UserInfo>
        <DisplayName>Gertjan van de Craats</DisplayName>
        <AccountId>172</AccountId>
        <AccountType/>
      </UserInfo>
      <UserInfo>
        <DisplayName>Martien Janssen</DisplayName>
        <AccountId>27</AccountId>
        <AccountType/>
      </UserInfo>
    </SharedWithUser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19" ma:contentTypeDescription="Een nieuw document maken." ma:contentTypeScope="" ma:versionID="ea15b019988c54cbb2bc6e466c117270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bd035e611332a1a7ebeb110579dbb0e5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3:Jaar" minOccurs="0"/>
                <xsd:element ref="ns2:Uitgave" minOccurs="0"/>
                <xsd:element ref="ns2:Tweede_x0020_onderwerp" minOccurs="0"/>
                <xsd:element ref="ns2:Derde_x0020_onderwerp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  <xsd:enumeration value="KvK gemeenten"/>
        </xsd:restriction>
      </xsd:simpleType>
    </xsd:element>
    <xsd:element name="Uitgave" ma:index="4" nillable="true" ma:displayName="Uitgave" ma:default="01" ma:description="Uitgave van het betreffende jaar" ma:format="Dropdown" ma:internalName="Uitgave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</xsd:restriction>
      </xsd:simpleType>
    </xsd:element>
    <xsd:element name="Tweede_x0020_onderwerp" ma:index="5" nillable="true" ma:displayName="Tweede onderwerp" ma:format="Dropdown" ma:internalName="Tweede_x0020_onderwerp">
      <xsd:simpleType>
        <xsd:restriction base="dms:Choice">
          <xsd:enumeration value="Nieuw"/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  <xsd:enumeration value="Webinars"/>
        </xsd:restriction>
      </xsd:simpleType>
    </xsd:element>
    <xsd:element name="Derde_x0020_onderwerp" ma:index="6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format="Dropdown" ma:internalName="Ja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Gemeente" ma:index="7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CC94C-AA97-4F48-8B1E-57BC81E49C67}"/>
</file>

<file path=customXml/itemProps2.xml><?xml version="1.0" encoding="utf-8"?>
<ds:datastoreItem xmlns:ds="http://schemas.openxmlformats.org/officeDocument/2006/customXml" ds:itemID="{464AE8A4-0BF2-450B-B578-2E02D2FB48E5}"/>
</file>

<file path=customXml/itemProps3.xml><?xml version="1.0" encoding="utf-8"?>
<ds:datastoreItem xmlns:ds="http://schemas.openxmlformats.org/officeDocument/2006/customXml" ds:itemID="{FE0FF3E7-29D1-41B3-819D-133119725CB2}"/>
</file>

<file path=customXml/itemProps4.xml><?xml version="1.0" encoding="utf-8"?>
<ds:datastoreItem xmlns:ds="http://schemas.openxmlformats.org/officeDocument/2006/customXml" ds:itemID="{5708446A-B17D-463B-B24E-B5D71E691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>Martien Janssen</cp:lastModifiedBy>
  <cp:revision/>
  <dcterms:created xsi:type="dcterms:W3CDTF">2005-06-15T11:07:32Z</dcterms:created>
  <dcterms:modified xsi:type="dcterms:W3CDTF">2023-01-03T13:19:38Z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Datamigratie Office365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Datamigratie Office365</vt:lpwstr>
  </property>
  <property fmtid="{D5CDD505-2E9C-101B-9397-08002B2CF9AE}" pid="5" name="AuthorIds_UIVersion_1536">
    <vt:lpwstr>27</vt:lpwstr>
  </property>
  <property fmtid="{D5CDD505-2E9C-101B-9397-08002B2CF9AE}" pid="6" name="ContentTypeId">
    <vt:lpwstr>0x01010003E1308853F8A64D92D494A8F9CD8705</vt:lpwstr>
  </property>
</Properties>
</file>