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dcraats\Documents\Website\"/>
    </mc:Choice>
  </mc:AlternateContent>
  <xr:revisionPtr revIDLastSave="0" documentId="8_{4432368D-A6A3-47F9-84AA-338760BAE3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3" sheetId="3" r:id="rId1"/>
    <sheet name="Blad2" sheetId="2" r:id="rId2"/>
    <sheet name="Blad1" sheetId="1" r:id="rId3"/>
  </sheets>
  <definedNames>
    <definedName name="_xlnm.Print_Area" localSheetId="2">Blad1!$A$1:$K$178</definedName>
    <definedName name="_xlnm.Print_Area" localSheetId="0">Blad3!$A$1:$K$173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9" i="3" l="1"/>
  <c r="A41" i="3"/>
  <c r="I17" i="3" l="1"/>
  <c r="F19" i="3" s="1"/>
  <c r="C88" i="3" s="1"/>
  <c r="H100" i="3"/>
  <c r="J100" i="3" s="1"/>
  <c r="J66" i="3"/>
  <c r="G8" i="3"/>
  <c r="H122" i="3"/>
  <c r="H124" i="3" s="1"/>
  <c r="J124" i="3" s="1"/>
  <c r="H117" i="3"/>
  <c r="G70" i="3"/>
  <c r="J70" i="3" s="1"/>
  <c r="H118" i="3" s="1"/>
  <c r="J71" i="3"/>
  <c r="H36" i="3"/>
  <c r="G18" i="3"/>
  <c r="E36" i="3"/>
  <c r="J24" i="3"/>
  <c r="H29" i="3"/>
  <c r="K29" i="3" s="1"/>
  <c r="J152" i="3" s="1"/>
  <c r="B7" i="2" s="1"/>
  <c r="H27" i="3"/>
  <c r="K27" i="3" s="1"/>
  <c r="B11" i="2"/>
  <c r="B12" i="2"/>
  <c r="B13" i="2"/>
  <c r="B14" i="2"/>
  <c r="G127" i="3"/>
  <c r="N44" i="3"/>
  <c r="N51" i="3"/>
  <c r="N43" i="3"/>
  <c r="B117" i="3"/>
  <c r="B114" i="3"/>
  <c r="B169" i="3"/>
  <c r="B168" i="3"/>
  <c r="A153" i="3"/>
  <c r="J135" i="3"/>
  <c r="J134" i="3"/>
  <c r="B127" i="3"/>
  <c r="B122" i="3"/>
  <c r="E106" i="3"/>
  <c r="H99" i="3"/>
  <c r="B98" i="3"/>
  <c r="B97" i="3"/>
  <c r="A96" i="3"/>
  <c r="A78" i="3"/>
  <c r="A77" i="3"/>
  <c r="A76" i="3"/>
  <c r="C66" i="3"/>
  <c r="G63" i="3"/>
  <c r="J61" i="3"/>
  <c r="J63" i="3" s="1"/>
  <c r="H82" i="3"/>
  <c r="J57" i="3"/>
  <c r="H169" i="3"/>
  <c r="J169" i="3" s="1"/>
  <c r="J56" i="3"/>
  <c r="H168" i="3" s="1"/>
  <c r="J168" i="3" s="1"/>
  <c r="J55" i="3"/>
  <c r="H167" i="3" s="1"/>
  <c r="J167" i="3" s="1"/>
  <c r="N87" i="3"/>
  <c r="H153" i="3" s="1"/>
  <c r="J153" i="3" s="1"/>
  <c r="J54" i="3"/>
  <c r="H166" i="3" s="1"/>
  <c r="J166" i="3" s="1"/>
  <c r="J49" i="3"/>
  <c r="K49" i="3" s="1"/>
  <c r="H165" i="3" s="1"/>
  <c r="J165" i="3" s="1"/>
  <c r="G46" i="3"/>
  <c r="J46" i="3" s="1"/>
  <c r="G45" i="3"/>
  <c r="J45" i="3" s="1"/>
  <c r="G44" i="3"/>
  <c r="J44" i="3" s="1"/>
  <c r="K42" i="3"/>
  <c r="H163" i="3" s="1"/>
  <c r="J163" i="3" s="1"/>
  <c r="H42" i="3"/>
  <c r="N65" i="3"/>
  <c r="N74" i="3"/>
  <c r="F97" i="3" s="1"/>
  <c r="H34" i="3"/>
  <c r="G76" i="3" s="1"/>
  <c r="H78" i="3" s="1"/>
  <c r="A34" i="3"/>
  <c r="C24" i="3"/>
  <c r="F14" i="3"/>
  <c r="G13" i="3" s="1"/>
  <c r="H122" i="1"/>
  <c r="C153" i="1"/>
  <c r="C93" i="1"/>
  <c r="E93" i="1"/>
  <c r="H93" i="1" s="1"/>
  <c r="A157" i="1"/>
  <c r="A38" i="1"/>
  <c r="K32" i="1"/>
  <c r="K34" i="1" s="1"/>
  <c r="K35" i="1" s="1"/>
  <c r="G74" i="1"/>
  <c r="H77" i="1" s="1"/>
  <c r="H73" i="1"/>
  <c r="H78" i="1" s="1"/>
  <c r="J74" i="1"/>
  <c r="K77" i="1"/>
  <c r="G48" i="1"/>
  <c r="H51" i="1" s="1"/>
  <c r="J48" i="1"/>
  <c r="A45" i="1"/>
  <c r="N58" i="1"/>
  <c r="H118" i="1"/>
  <c r="J118" i="1"/>
  <c r="J134" i="1" s="1"/>
  <c r="H46" i="1"/>
  <c r="H126" i="1"/>
  <c r="I126" i="1"/>
  <c r="J128" i="1"/>
  <c r="H121" i="1"/>
  <c r="J123" i="1" s="1"/>
  <c r="B115" i="1"/>
  <c r="K30" i="1"/>
  <c r="H152" i="1"/>
  <c r="H157" i="1"/>
  <c r="J157" i="1"/>
  <c r="G10" i="1"/>
  <c r="G11" i="1"/>
  <c r="G9" i="1"/>
  <c r="H38" i="1"/>
  <c r="G81" i="1" s="1"/>
  <c r="G131" i="1"/>
  <c r="B131" i="1"/>
  <c r="B126" i="1"/>
  <c r="J58" i="1"/>
  <c r="H170" i="1" s="1"/>
  <c r="J170" i="1" s="1"/>
  <c r="J59" i="1"/>
  <c r="J60" i="1"/>
  <c r="J61" i="1"/>
  <c r="H172" i="1"/>
  <c r="J172" i="1" s="1"/>
  <c r="H173" i="1"/>
  <c r="J173" i="1" s="1"/>
  <c r="H40" i="1"/>
  <c r="G82" i="1" s="1"/>
  <c r="K46" i="1"/>
  <c r="H167" i="1" s="1"/>
  <c r="J167" i="1" s="1"/>
  <c r="G49" i="1"/>
  <c r="J49" i="1" s="1"/>
  <c r="K51" i="1" s="1"/>
  <c r="H168" i="1" s="1"/>
  <c r="J168" i="1" s="1"/>
  <c r="G50" i="1"/>
  <c r="J50" i="1" s="1"/>
  <c r="B173" i="1"/>
  <c r="B172" i="1"/>
  <c r="G4" i="1"/>
  <c r="G8" i="1"/>
  <c r="I17" i="1"/>
  <c r="K17" i="1" s="1"/>
  <c r="N51" i="1" s="1"/>
  <c r="C27" i="1"/>
  <c r="N38" i="1"/>
  <c r="N47" i="1" s="1"/>
  <c r="B103" i="1"/>
  <c r="B102" i="1"/>
  <c r="J139" i="1"/>
  <c r="J138" i="1"/>
  <c r="J53" i="1"/>
  <c r="K53" i="1" s="1"/>
  <c r="H169" i="1" s="1"/>
  <c r="J169" i="1" s="1"/>
  <c r="H104" i="1"/>
  <c r="J105" i="1"/>
  <c r="I116" i="1"/>
  <c r="E111" i="1"/>
  <c r="A101" i="1"/>
  <c r="H62" i="1"/>
  <c r="H87" i="1"/>
  <c r="A83" i="1"/>
  <c r="A82" i="1"/>
  <c r="A81" i="1"/>
  <c r="J70" i="1"/>
  <c r="J27" i="1"/>
  <c r="C70" i="1"/>
  <c r="I13" i="1"/>
  <c r="E14" i="1"/>
  <c r="G14" i="1"/>
  <c r="G18" i="1"/>
  <c r="H35" i="1"/>
  <c r="J65" i="1"/>
  <c r="J67" i="1" s="1"/>
  <c r="G67" i="1"/>
  <c r="E40" i="1"/>
  <c r="G21" i="1"/>
  <c r="C14" i="1"/>
  <c r="J156" i="1"/>
  <c r="H154" i="1"/>
  <c r="J154" i="1"/>
  <c r="J152" i="1"/>
  <c r="H171" i="1"/>
  <c r="J171" i="1" s="1"/>
  <c r="A30" i="1"/>
  <c r="H128" i="1"/>
  <c r="G12" i="3"/>
  <c r="H72" i="3"/>
  <c r="H114" i="3"/>
  <c r="J114" i="3" s="1"/>
  <c r="K36" i="3"/>
  <c r="J77" i="3" s="1"/>
  <c r="H157" i="3" s="1"/>
  <c r="J157" i="3" s="1"/>
  <c r="G77" i="3"/>
  <c r="K34" i="3" l="1"/>
  <c r="J76" i="3" s="1"/>
  <c r="K78" i="3" s="1"/>
  <c r="H83" i="1"/>
  <c r="H89" i="1" s="1"/>
  <c r="H95" i="1" s="1"/>
  <c r="K47" i="3"/>
  <c r="H164" i="3" s="1"/>
  <c r="J164" i="3" s="1"/>
  <c r="J170" i="3" s="1"/>
  <c r="N48" i="1"/>
  <c r="F103" i="1" s="1"/>
  <c r="F102" i="1"/>
  <c r="F104" i="1" s="1"/>
  <c r="J104" i="1" s="1"/>
  <c r="J109" i="1" s="1"/>
  <c r="J174" i="1"/>
  <c r="H55" i="1"/>
  <c r="H85" i="1" s="1"/>
  <c r="H37" i="3"/>
  <c r="K38" i="1"/>
  <c r="K93" i="1"/>
  <c r="H153" i="1" s="1"/>
  <c r="H123" i="1"/>
  <c r="H134" i="1" s="1"/>
  <c r="H47" i="3"/>
  <c r="H51" i="3" s="1"/>
  <c r="H80" i="3" s="1"/>
  <c r="K58" i="3"/>
  <c r="K82" i="3" s="1"/>
  <c r="H150" i="3"/>
  <c r="J150" i="3" s="1"/>
  <c r="H69" i="3"/>
  <c r="H41" i="1"/>
  <c r="K62" i="1"/>
  <c r="K87" i="1" s="1"/>
  <c r="K73" i="1"/>
  <c r="K78" i="1" s="1"/>
  <c r="I117" i="3"/>
  <c r="K72" i="3"/>
  <c r="K55" i="1"/>
  <c r="K85" i="1" s="1"/>
  <c r="K40" i="1"/>
  <c r="J82" i="1" s="1"/>
  <c r="H161" i="1" s="1"/>
  <c r="J161" i="1" s="1"/>
  <c r="G11" i="3"/>
  <c r="G14" i="3" s="1"/>
  <c r="I114" i="3"/>
  <c r="H119" i="3"/>
  <c r="J130" i="3" s="1"/>
  <c r="H31" i="3"/>
  <c r="H148" i="3"/>
  <c r="J148" i="3" s="1"/>
  <c r="B3" i="2" s="1"/>
  <c r="K31" i="3"/>
  <c r="K88" i="3"/>
  <c r="H88" i="3"/>
  <c r="N80" i="3"/>
  <c r="N75" i="3" s="1"/>
  <c r="F21" i="3" s="1"/>
  <c r="F98" i="3" s="1"/>
  <c r="F99" i="3" s="1"/>
  <c r="J99" i="3" s="1"/>
  <c r="K51" i="3" l="1"/>
  <c r="K80" i="3" s="1"/>
  <c r="K37" i="3"/>
  <c r="K61" i="3" s="1"/>
  <c r="K63" i="3" s="1"/>
  <c r="J96" i="3" s="1"/>
  <c r="J106" i="3" s="1"/>
  <c r="J132" i="3" s="1"/>
  <c r="H61" i="3"/>
  <c r="H63" i="3" s="1"/>
  <c r="H130" i="3"/>
  <c r="J153" i="1"/>
  <c r="J159" i="1" s="1"/>
  <c r="H155" i="1"/>
  <c r="J81" i="1"/>
  <c r="K83" i="1" s="1"/>
  <c r="K89" i="1" s="1"/>
  <c r="K95" i="1" s="1"/>
  <c r="K41" i="1"/>
  <c r="K65" i="1" s="1"/>
  <c r="K67" i="1" s="1"/>
  <c r="J101" i="1" s="1"/>
  <c r="J111" i="1" s="1"/>
  <c r="J136" i="1" s="1"/>
  <c r="H73" i="3"/>
  <c r="H84" i="3" s="1"/>
  <c r="H90" i="3" s="1"/>
  <c r="K69" i="3"/>
  <c r="K73" i="3" s="1"/>
  <c r="K84" i="3" s="1"/>
  <c r="K90" i="3" s="1"/>
  <c r="H65" i="1"/>
  <c r="H67" i="1" s="1"/>
  <c r="J104" i="3"/>
  <c r="H149" i="3"/>
  <c r="K21" i="1" l="1"/>
  <c r="J163" i="1"/>
  <c r="J177" i="1" s="1"/>
  <c r="I138" i="1"/>
  <c r="I139" i="1"/>
  <c r="H151" i="3"/>
  <c r="J149" i="3"/>
  <c r="I134" i="3"/>
  <c r="I135" i="3"/>
  <c r="B4" i="2" l="1"/>
  <c r="B9" i="2" s="1"/>
  <c r="J155" i="3"/>
  <c r="J159" i="3" l="1"/>
  <c r="J173" i="3" s="1"/>
  <c r="K18" i="3"/>
</calcChain>
</file>

<file path=xl/sharedStrings.xml><?xml version="1.0" encoding="utf-8"?>
<sst xmlns="http://schemas.openxmlformats.org/spreadsheetml/2006/main" count="405" uniqueCount="285">
  <si>
    <t>REKENMODEL LASTEN PREDIKANTSPLAATS</t>
  </si>
  <si>
    <t>Hersteld Hervormde Kerk</t>
  </si>
  <si>
    <t>Gebaseerd op de tabellen bij de generale regeling voor de predikantstraktementen en predikantspensioenen</t>
  </si>
  <si>
    <t>versie 2021.1</t>
  </si>
  <si>
    <t>Onderstaande parameters</t>
  </si>
  <si>
    <t>niet wijzigen!</t>
  </si>
  <si>
    <t>Algemene gegevens</t>
  </si>
  <si>
    <t>(Alleen de geel gemarkeerde velden invullen)</t>
  </si>
  <si>
    <t xml:space="preserve"> (worden niet afgedrukt)</t>
  </si>
  <si>
    <t>Hersteld Hervormde Gemeente te</t>
  </si>
  <si>
    <t>(Naam van de gemeente)</t>
  </si>
  <si>
    <t xml:space="preserve"> </t>
  </si>
  <si>
    <t>Jaar:</t>
  </si>
  <si>
    <t>Omvang werktijd predikantsplaats (in fracties van 1/12):</t>
  </si>
  <si>
    <t>(12/12e is volledige werktijd)</t>
  </si>
  <si>
    <t>Ambtswoning beschikbaar (0=nee; 1=ja):</t>
  </si>
  <si>
    <t>Ziektekostenvoorziening</t>
  </si>
  <si>
    <t>Ambtswoning: max. vergoeding, indien afwijkend:</t>
  </si>
  <si>
    <t>Gehuwde predikant</t>
  </si>
  <si>
    <t>Ongehuwde predikant</t>
  </si>
  <si>
    <t>Aantallen leden:</t>
  </si>
  <si>
    <t>belijdende leden:</t>
  </si>
  <si>
    <t>doopleden:</t>
  </si>
  <si>
    <t>Periodieken</t>
  </si>
  <si>
    <t>geboorteleden</t>
  </si>
  <si>
    <t>Peildatum</t>
  </si>
  <si>
    <t>totaal aantal leden</t>
  </si>
  <si>
    <t>Bedrag per maand</t>
  </si>
  <si>
    <t>30 of jonger</t>
  </si>
  <si>
    <t>Gegevens predikant</t>
  </si>
  <si>
    <t>Geboortedatum predikant:</t>
  </si>
  <si>
    <t>Leeftijd op 1 januari :</t>
  </si>
  <si>
    <t>jaar</t>
  </si>
  <si>
    <r>
      <t xml:space="preserve">Gehuwd </t>
    </r>
    <r>
      <rPr>
        <sz val="9"/>
        <rFont val="Arial"/>
        <family val="2"/>
      </rPr>
      <t>(ja=1, nee=0</t>
    </r>
    <r>
      <rPr>
        <sz val="10"/>
        <rFont val="Arial"/>
      </rPr>
      <t>):</t>
    </r>
  </si>
  <si>
    <t>Aantal periodieken (tabel 13):</t>
  </si>
  <si>
    <t>( Uit te keren door de Stichting Predikantstraktementen)</t>
  </si>
  <si>
    <t>Aantal preekbeurten eigen predikant</t>
  </si>
  <si>
    <r>
      <t xml:space="preserve">(Default </t>
    </r>
    <r>
      <rPr>
        <u/>
        <sz val="10"/>
        <rFont val="Arial"/>
        <family val="2"/>
      </rPr>
      <t>rekenkundig</t>
    </r>
    <r>
      <rPr>
        <sz val="10"/>
        <rFont val="Arial"/>
        <family val="2"/>
      </rPr>
      <t xml:space="preserve"> aantal minus vakantie en vrije zondagen)</t>
    </r>
  </si>
  <si>
    <t xml:space="preserve">I.  TRAKTEMENTSKOSTEN PREDIKANT </t>
  </si>
  <si>
    <t>Jaar van berekening</t>
  </si>
  <si>
    <t>kosten bij volledig</t>
  </si>
  <si>
    <t>Basistraktement per maand</t>
  </si>
  <si>
    <t>Vakantietoeslag (tabel 4)</t>
  </si>
  <si>
    <t>Kosten basistraktement voor rekening van de gemeente</t>
  </si>
  <si>
    <t>A</t>
  </si>
  <si>
    <t>44 of ouder</t>
  </si>
  <si>
    <t>emolumenten:</t>
  </si>
  <si>
    <t>Basistraktement</t>
  </si>
  <si>
    <t>Vakantietoeslag</t>
  </si>
  <si>
    <t>Inhouding eigen pensioen-</t>
  </si>
  <si>
    <t>Tegemoetkoming ziektekostenvoorziening</t>
  </si>
  <si>
    <t>bijdrage predikant</t>
  </si>
  <si>
    <t>Totaal emolumenten</t>
  </si>
  <si>
    <t>B</t>
  </si>
  <si>
    <t>Omslagbijdrage SPP (P-Nota)</t>
  </si>
  <si>
    <t>Vergoeding van onkosten:</t>
  </si>
  <si>
    <t>belijdend</t>
  </si>
  <si>
    <t>doop</t>
  </si>
  <si>
    <t>geboorte</t>
  </si>
  <si>
    <t>Geschat aantal km's per maand</t>
  </si>
  <si>
    <t>max. aantal leden</t>
  </si>
  <si>
    <t>max. bedrag</t>
  </si>
  <si>
    <t>Representatiekosten</t>
  </si>
  <si>
    <t>per jaar:</t>
  </si>
  <si>
    <t>aant. Doop-belijd.leden</t>
  </si>
  <si>
    <t>Vakliteratuur</t>
  </si>
  <si>
    <t>(ook bij parttime)</t>
  </si>
  <si>
    <t>Admin.- en bureaukosten</t>
  </si>
  <si>
    <t>Omslagbijdrage SPT (A-Nota)</t>
  </si>
  <si>
    <t>belijdende leden</t>
  </si>
  <si>
    <t>doopleden</t>
  </si>
  <si>
    <t>Communicatiekosten:</t>
  </si>
  <si>
    <t>Totaal vergoeding van kosten</t>
  </si>
  <si>
    <t>C</t>
  </si>
  <si>
    <t>max. bijdrage</t>
  </si>
  <si>
    <t>plaatselijke vergoedingsregelingen:</t>
  </si>
  <si>
    <t>Omslagbijdrage Algemeen</t>
  </si>
  <si>
    <t>Vergoeding tuinonderhoud</t>
  </si>
  <si>
    <t>Kerkenwerk (K-Nota)</t>
  </si>
  <si>
    <t>Andere vergoedingen</t>
  </si>
  <si>
    <t>D</t>
  </si>
  <si>
    <t>GDC:</t>
  </si>
  <si>
    <t>TOTAAL KOSTEN PREDIKANT PER MAAND (A + B + C + D)</t>
  </si>
  <si>
    <t>bij volledig:</t>
  </si>
  <si>
    <t>TOTAAL KOSTEN PREDIKANT PER JAAR</t>
  </si>
  <si>
    <t>Overige parameters</t>
  </si>
  <si>
    <t>Aantal zondagen</t>
  </si>
  <si>
    <t>II. PREDIKANT ONTVANGT PER MAAND:</t>
  </si>
  <si>
    <t>Aantal diensten</t>
  </si>
  <si>
    <t>bij volledige werktijd</t>
  </si>
  <si>
    <t xml:space="preserve"> + biddag</t>
  </si>
  <si>
    <t>1. VAN DE KERKVOOGDIJ (GEMEENTE):</t>
  </si>
  <si>
    <t xml:space="preserve"> + dankdag</t>
  </si>
  <si>
    <t>traktement:</t>
  </si>
  <si>
    <t xml:space="preserve"> + Nieuwjaar</t>
  </si>
  <si>
    <t xml:space="preserve"> + Goede Vrijdag</t>
  </si>
  <si>
    <t>Af: inhouding pensioenbijdrage volgens tabel 6</t>
  </si>
  <si>
    <t xml:space="preserve"> + Hemelvaartsdag</t>
  </si>
  <si>
    <r>
      <t>Bij: vakantietoeslag (</t>
    </r>
    <r>
      <rPr>
        <i/>
        <sz val="10"/>
        <rFont val="Arial"/>
        <family val="2"/>
      </rPr>
      <t>in de maand mei</t>
    </r>
    <r>
      <rPr>
        <sz val="10"/>
        <rFont val="Arial"/>
      </rPr>
      <t>)</t>
    </r>
  </si>
  <si>
    <t xml:space="preserve"> + 1e en 2e Pdagen</t>
  </si>
  <si>
    <t xml:space="preserve"> + Kerstdagen</t>
  </si>
  <si>
    <t>Traktement</t>
  </si>
  <si>
    <t xml:space="preserve"> + Oudjaar</t>
  </si>
  <si>
    <t>Totaal diensten</t>
  </si>
  <si>
    <t>Beurten calc.</t>
  </si>
  <si>
    <t xml:space="preserve">Vrijstelling van het dienstwerk </t>
  </si>
  <si>
    <t>(tabel 12)</t>
  </si>
  <si>
    <t>vrije zondagen</t>
  </si>
  <si>
    <t>vrije weken</t>
  </si>
  <si>
    <t>leeftijdgrens</t>
  </si>
  <si>
    <t>Totaal volgens plaatselijke vergoedingsregelingen</t>
  </si>
  <si>
    <t>Vergoeding preekbeurt</t>
  </si>
  <si>
    <t>TOTAAL DOOR KERKVOOGDIJ (GEMEENTE) TE BETALEN</t>
  </si>
  <si>
    <t>Kilometervergoeding</t>
  </si>
  <si>
    <t>2. VAN DE STICHTING PREDIKANTSTRAKTEMENTEN:</t>
  </si>
  <si>
    <t>Vergoeding gemis ambtswoning</t>
  </si>
  <si>
    <t>periodiek:</t>
  </si>
  <si>
    <t>hulpvld test:</t>
  </si>
  <si>
    <t>Aantal periodieken</t>
  </si>
  <si>
    <t>x bedrag €</t>
  </si>
  <si>
    <t>vergoeding:</t>
  </si>
  <si>
    <r>
      <t xml:space="preserve">Predikant ontvangt per maand totaal </t>
    </r>
    <r>
      <rPr>
        <sz val="8"/>
        <rFont val="Arial"/>
        <family val="2"/>
      </rPr>
      <t>(excl. vakantiegeld)</t>
    </r>
  </si>
  <si>
    <t>III. JAARLIJKSE LASTEN VOOR GEMEENTE, VERBAND HOUDENDE MET BEZETTE PREDIKANTSPLAATS</t>
  </si>
  <si>
    <t>Aanvullende preekvoorziening i.v.m. vrije zondagen</t>
  </si>
  <si>
    <t>beurten x</t>
  </si>
  <si>
    <t>Aanvullende preekvoorziening reiskosten gastpredikant</t>
  </si>
  <si>
    <t>km. x</t>
  </si>
  <si>
    <t xml:space="preserve"> =</t>
  </si>
  <si>
    <t>Overig</t>
  </si>
  <si>
    <t>Totaal kosten preekvoorziening</t>
  </si>
  <si>
    <t>TOTAAL LASTEN I.V.M. PREDIKANT</t>
  </si>
  <si>
    <t>IV. BEREKENING AF TE DRAGEN OMSLAGBIJDRAGEN</t>
  </si>
  <si>
    <t>Omschrijving / berekening</t>
  </si>
  <si>
    <t>Notasoort</t>
  </si>
  <si>
    <t>Af te dragen</t>
  </si>
  <si>
    <t>Lasten voor de gemeente</t>
  </si>
  <si>
    <t>St. Predikantstraktementen (inzake periodieken predikant)</t>
  </si>
  <si>
    <t>A-Nota</t>
  </si>
  <si>
    <t>St. voor de Predikantspensioenen (inzake pensioenvoorziening predikant)</t>
  </si>
  <si>
    <t>Afdracht ingeh. pensioenbijdrage predikant</t>
  </si>
  <si>
    <t>P-Nota</t>
  </si>
  <si>
    <t>St. Kerkelijk Bureau (inzake algemeen kerkenwerk)</t>
  </si>
  <si>
    <t xml:space="preserve">op gemeenteleden te verhalen bedrag </t>
  </si>
  <si>
    <t xml:space="preserve"> -   </t>
  </si>
  <si>
    <t>K-Nota</t>
  </si>
  <si>
    <t>Generale Diaconale Commissie (t.l.v. Diaconie)</t>
  </si>
  <si>
    <t>D-Nota</t>
  </si>
  <si>
    <t>Bedrag komt t.l.v. Diaconie; dus niet in deze cijfers opgenomen.</t>
  </si>
  <si>
    <t>TOTAAL AF TE DRAGEN BEDRAGEN RESP. LAST VOOR DE GEMEENTE</t>
  </si>
  <si>
    <t>V. TOTAAL-GENERAAL LASTEN BEZETTE PREDIKANTSPLAATS</t>
  </si>
  <si>
    <t>€</t>
  </si>
  <si>
    <t>#</t>
  </si>
  <si>
    <t>Idem per lid, berekend op basis van som belijdende- en doopleden</t>
  </si>
  <si>
    <t>Idem per lid, berekend op basis van som belijdende- en  half x aantal doopleden</t>
  </si>
  <si>
    <t>VI. OVERZICHT BRUTO JAARINKOMEN PREDIKANT</t>
  </si>
  <si>
    <t xml:space="preserve">Dit overzicht is opgebouwd uit de bedragen uit bovenstaand model, bedoeld voor gebruik in gemeenten. </t>
  </si>
  <si>
    <t>Dit overzicht geeft slechts de componenten weer van het brutojaarinkomen vanuit één gemeente.</t>
  </si>
  <si>
    <t>Inkomenselementen die afhankelijk zijn van de persoonlijke situatie van de predikant, zijn NIET opgenomen (bijv.</t>
  </si>
  <si>
    <t>fiscale bijtelling wegens vrij gebruik pastorie, neveninkomsten, persoonlijke bijtel- en aftrekposten).</t>
  </si>
  <si>
    <t>Het betreft bruto bedragen.</t>
  </si>
  <si>
    <t>Géén rekening is gehouden met extra inkomsten wegens preekbeurten en andere neveninkomsten.</t>
  </si>
  <si>
    <t>Aan dit overzicht kunnen geen rechten worden ontleend.</t>
  </si>
  <si>
    <r>
      <t xml:space="preserve">Deze opstelling is slechts bedoeld als een </t>
    </r>
    <r>
      <rPr>
        <u/>
        <sz val="10"/>
        <rFont val="Arial"/>
        <family val="2"/>
      </rPr>
      <t>indicatie</t>
    </r>
    <r>
      <rPr>
        <sz val="10"/>
        <rFont val="Arial"/>
      </rPr>
      <t xml:space="preserve"> van het jaarlijks inkomen.</t>
    </r>
  </si>
  <si>
    <t>per maand</t>
  </si>
  <si>
    <t>per jaar (x 12)</t>
  </si>
  <si>
    <t>Periodieke verhoging</t>
  </si>
  <si>
    <t>Af: inhouding eigen bijdrage pensioenvoorziening</t>
  </si>
  <si>
    <t>bruto maandinkomen</t>
  </si>
  <si>
    <t>Vakantiegeld (incl. eindejaarsuitkering)</t>
  </si>
  <si>
    <t>bruto jaarinkomen excl bijdrage zkv-premie</t>
  </si>
  <si>
    <t>Bijdrage premie ziektekostenverzekering</t>
  </si>
  <si>
    <t>Bruto jaarinkomen predikant</t>
  </si>
  <si>
    <t>Overige inkomensbestanddelen:</t>
  </si>
  <si>
    <t>Vervoerskosten</t>
  </si>
  <si>
    <t>Vergoedingen volgens generale regeling</t>
  </si>
  <si>
    <t>Vergoeding communicatiekosten</t>
  </si>
  <si>
    <t>Brutobedrag volgens plaatselijke vergoedingsregeling</t>
  </si>
  <si>
    <t>totaal overige inkomensbestanddelen</t>
  </si>
  <si>
    <t>TOTAAL BRUTO INKOMEN PER JAAR PREDIKANT</t>
  </si>
  <si>
    <t>BEREKENINGEN t.b.v. PENSIOEN</t>
  </si>
  <si>
    <t>invullen</t>
  </si>
  <si>
    <t>traktement</t>
  </si>
  <si>
    <t>Alleen invullen indien op blad1 in de gele cellen verwijzingen naar deze cellen zijn opgenomen ! !!!</t>
  </si>
  <si>
    <t>periodieke verhogingen</t>
  </si>
  <si>
    <t>vakantietoeslag incl. eindejaars</t>
  </si>
  <si>
    <t>jaarinkomen voor pensioen</t>
  </si>
  <si>
    <t xml:space="preserve"> (t.b.v. opgaaf aan Cbeh)</t>
  </si>
  <si>
    <t>geboortedatum</t>
  </si>
  <si>
    <t>groepsindeling</t>
  </si>
  <si>
    <t>aantal periodieken</t>
  </si>
  <si>
    <t>parttimefactor (omv.pred.plts)</t>
  </si>
  <si>
    <t xml:space="preserve"> ^invullen^</t>
  </si>
  <si>
    <t>MODEL BEKNOPTE BEREKENING LASTEN PREDIKANT</t>
  </si>
  <si>
    <t>versie 2019.1</t>
  </si>
  <si>
    <t>kerkelijk bureau</t>
  </si>
  <si>
    <t>Parameters:</t>
  </si>
  <si>
    <t>Algemene gegevens:</t>
  </si>
  <si>
    <t>(Alleen de gele velden invullen)</t>
  </si>
  <si>
    <t>(NB: niet wijzigen;</t>
  </si>
  <si>
    <t>Berekening t.b.v. bijstand in pastoraat (0=nee; 1=ja)</t>
  </si>
  <si>
    <t xml:space="preserve"> worden niet afgedrukt)</t>
  </si>
  <si>
    <t>Gemeente</t>
  </si>
  <si>
    <t>Kerkdorp</t>
  </si>
  <si>
    <t>Classis</t>
  </si>
  <si>
    <t>Naam</t>
  </si>
  <si>
    <t>Jaartal:</t>
  </si>
  <si>
    <t>Omvang predikantsplaats (in fracties van 1/12)</t>
  </si>
  <si>
    <t>ZKVtabel:</t>
  </si>
  <si>
    <t>Groepsindeling gemeente (1, 2, of 3)</t>
  </si>
  <si>
    <t>pred</t>
  </si>
  <si>
    <t>Ambtswoning beschikbaar (0=nee; 1=ja)</t>
  </si>
  <si>
    <t>vrouw</t>
  </si>
  <si>
    <t>Ambtswoning: max. vergoeding, indien afwijkend</t>
  </si>
  <si>
    <t>kind &lt;16</t>
  </si>
  <si>
    <t>ADSL-verbinding beschikbaar (0=nee; 1=ja)</t>
  </si>
  <si>
    <t>kind 16+</t>
  </si>
  <si>
    <t>max -16</t>
  </si>
  <si>
    <t>TOTAAL</t>
  </si>
  <si>
    <t>max kind</t>
  </si>
  <si>
    <t>idem in procenten:</t>
  </si>
  <si>
    <t>max.# periodieken</t>
  </si>
  <si>
    <t>Gegevens predikant:</t>
  </si>
  <si>
    <t>bedrag periodiek</t>
  </si>
  <si>
    <t>Geboortedatum</t>
  </si>
  <si>
    <t>geb.jaar</t>
  </si>
  <si>
    <t>leeftijd</t>
  </si>
  <si>
    <t>Aantal periodieken aanvangswedde (tabel 1)</t>
  </si>
  <si>
    <t>eindejr uitk</t>
  </si>
  <si>
    <t>tabel</t>
  </si>
  <si>
    <t>Aantal periodieken periodieke verhoging</t>
  </si>
  <si>
    <t>(tabel 14)</t>
  </si>
  <si>
    <t>Pensioenbijdrage per maand, vlg tabel 6</t>
  </si>
  <si>
    <r>
      <t xml:space="preserve">Gehuwd </t>
    </r>
    <r>
      <rPr>
        <sz val="9"/>
        <rFont val="Arial"/>
        <family val="2"/>
      </rPr>
      <t>(ja=1, nee=0</t>
    </r>
    <r>
      <rPr>
        <sz val="10"/>
        <rFont val="Arial"/>
      </rPr>
      <t>)</t>
    </r>
  </si>
  <si>
    <t>omslagen p pred.plts</t>
  </si>
  <si>
    <t>Kinderen:</t>
  </si>
  <si>
    <t>aantal kinderen jonger dan 16 jr:</t>
  </si>
  <si>
    <t>aant. kind. tussen 16 en 27 jr:</t>
  </si>
  <si>
    <t>pensioen</t>
  </si>
  <si>
    <t>Max. aantal preekbeurten per jaar (bij 12/12)</t>
  </si>
  <si>
    <t xml:space="preserve"> 0 = aantal diensten -/- aantal vrije zondagen vlg Gen. Regeling</t>
  </si>
  <si>
    <t>periodiek</t>
  </si>
  <si>
    <t xml:space="preserve">I.  KOSTEN PREDIKANT </t>
  </si>
  <si>
    <t>omslagen per lid:</t>
  </si>
  <si>
    <t>Alg Kerkenwerk:</t>
  </si>
  <si>
    <t>Vakantietoeslag (incl. eindejaarsuitk. volgens tabel 4)</t>
  </si>
  <si>
    <t>Kosten traktement voor rekening van de gemeente</t>
  </si>
  <si>
    <t>overige parameters</t>
  </si>
  <si>
    <t># zondagen</t>
  </si>
  <si>
    <t>diensten</t>
  </si>
  <si>
    <t>Tegemoetkoming ziektekostenverzekering</t>
  </si>
  <si>
    <t xml:space="preserve"> + Nieuwjr</t>
  </si>
  <si>
    <t xml:space="preserve"> + GVrijdag</t>
  </si>
  <si>
    <t>kostenvergoedingsregelingen:</t>
  </si>
  <si>
    <t xml:space="preserve"> + Hemelvdg</t>
  </si>
  <si>
    <t xml:space="preserve"> + 2e Pdagen</t>
  </si>
  <si>
    <t xml:space="preserve"> + Kerstdgn</t>
  </si>
  <si>
    <t># diensten</t>
  </si>
  <si>
    <t>beurten calc.</t>
  </si>
  <si>
    <t>hon.p.beurt</t>
  </si>
  <si>
    <t>Totaal kostenvergoedingen</t>
  </si>
  <si>
    <t>verg. km</t>
  </si>
  <si>
    <t>pt-factor            ja (1) / nee (0)</t>
  </si>
  <si>
    <t>gemis ambtswoning:</t>
  </si>
  <si>
    <r>
      <t xml:space="preserve">Beloning domineesvrouw </t>
    </r>
    <r>
      <rPr>
        <sz val="8"/>
        <rFont val="Arial"/>
        <family val="2"/>
      </rPr>
      <t>(i.v.m. representatieve taken / bezoekwerk)</t>
    </r>
  </si>
  <si>
    <t>óf: kostenvergoeding i.v.m. representatie op declaratiebasis</t>
  </si>
  <si>
    <t>bij volledig</t>
  </si>
  <si>
    <t>Bij: vakantietoeslag (in de maand mei)</t>
  </si>
  <si>
    <t>Bij: eindejaarsuitkering (in de maand december)</t>
  </si>
  <si>
    <t>Totaal kosten vergoedingen</t>
  </si>
  <si>
    <r>
      <t xml:space="preserve">Predikant ontvangt per maand totaal </t>
    </r>
    <r>
      <rPr>
        <sz val="8"/>
        <rFont val="Arial"/>
        <family val="2"/>
      </rPr>
      <t>(excl vakantiegeld en eindejaarsuitkering)</t>
    </r>
  </si>
  <si>
    <t>Reiskosten i.v.m. aanvullende preekvoorziening</t>
  </si>
  <si>
    <t>x</t>
  </si>
  <si>
    <t>IV. BEREKENING AF TE DRAGEN BEDRAGEN AAN LANDELIJKE KERK EN LASTEN VOOR DE GEMEENTE</t>
  </si>
  <si>
    <t>notasoort</t>
  </si>
  <si>
    <t>St. Predikantstraktementen, inzake periodieken</t>
  </si>
  <si>
    <t>St. Predikantspensioenen:</t>
  </si>
  <si>
    <t>Omslag op basis van predikantsplaats</t>
  </si>
  <si>
    <t xml:space="preserve"> (12 mnd)</t>
  </si>
  <si>
    <t xml:space="preserve">Totaal nota </t>
  </si>
  <si>
    <t>P</t>
  </si>
  <si>
    <t>St. Kerkelijk Bureau inzake algemeen kerkenwerk</t>
  </si>
  <si>
    <t>K</t>
  </si>
  <si>
    <t>Totaal nota / totaal t.l.v. gemeente</t>
  </si>
  <si>
    <t>fiscale bijtelling wegens vrij gebruik pastorie, neveninkomsten, persoonlijke bjtel- en aftrekposten).</t>
  </si>
  <si>
    <t>Brutotraktement volgens tabel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</si>
</sst>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164" formatCode="_-&quot;€&quot;\ * #,##0.00_-;_-&quot;€&quot;\ * #,##0.00\-;_-&quot;€&quot;\ * &quot;-&quot;??_-;_-@_-"/>
    <numFmt numFmtId="165" formatCode="0.0%"/>
    <numFmt numFmtId="166" formatCode="&quot;€&quot;\ #,##0.00_-"/>
    <numFmt numFmtId="167" formatCode="&quot;€&quot;\ #,##0.00"/>
    <numFmt numFmtId="168" formatCode="dd/mm/yy;@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1"/>
      <name val="Agency FB"/>
      <family val="2"/>
    </font>
    <font>
      <u/>
      <sz val="10"/>
      <name val="Arial"/>
      <family val="2"/>
    </font>
    <font>
      <sz val="6"/>
      <name val="Arial"/>
      <family val="2"/>
    </font>
    <font>
      <u val="double"/>
      <sz val="9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39"/>
      </left>
      <right/>
      <top style="dashDotDot">
        <color indexed="39"/>
      </top>
      <bottom/>
      <diagonal/>
    </border>
    <border>
      <left/>
      <right style="dashDotDot">
        <color indexed="39"/>
      </right>
      <top style="dashDotDot">
        <color indexed="39"/>
      </top>
      <bottom/>
      <diagonal/>
    </border>
    <border>
      <left style="dashDotDot">
        <color indexed="39"/>
      </left>
      <right/>
      <top/>
      <bottom/>
      <diagonal/>
    </border>
    <border>
      <left/>
      <right style="dashDotDot">
        <color indexed="39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39"/>
      </left>
      <right/>
      <top/>
      <bottom style="dashDotDot">
        <color indexed="39"/>
      </bottom>
      <diagonal/>
    </border>
    <border>
      <left/>
      <right style="dashDotDot">
        <color indexed="39"/>
      </right>
      <top/>
      <bottom style="dashDotDot">
        <color indexed="3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  <xf numFmtId="0" fontId="4" fillId="0" borderId="0" xfId="0" applyFont="1"/>
    <xf numFmtId="0" fontId="0" fillId="0" borderId="0" xfId="0" applyAlignment="1">
      <alignment horizontal="right"/>
    </xf>
    <xf numFmtId="14" fontId="0" fillId="2" borderId="0" xfId="0" applyNumberFormat="1" applyFill="1" applyProtection="1">
      <protection locked="0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0" fillId="0" borderId="3" xfId="0" applyBorder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0" borderId="4" xfId="0" applyNumberFormat="1" applyBorder="1" applyAlignment="1">
      <alignment horizontal="center"/>
    </xf>
    <xf numFmtId="0" fontId="6" fillId="0" borderId="3" xfId="0" applyFont="1" applyBorder="1"/>
    <xf numFmtId="4" fontId="0" fillId="0" borderId="4" xfId="0" applyNumberFormat="1" applyBorder="1"/>
    <xf numFmtId="4" fontId="0" fillId="2" borderId="0" xfId="0" applyNumberFormat="1" applyFill="1" applyBorder="1" applyProtection="1">
      <protection locked="0"/>
    </xf>
    <xf numFmtId="4" fontId="0" fillId="0" borderId="5" xfId="0" applyNumberFormat="1" applyBorder="1"/>
    <xf numFmtId="3" fontId="0" fillId="2" borderId="0" xfId="0" applyNumberFormat="1" applyFill="1" applyBorder="1" applyProtection="1">
      <protection locked="0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2" fontId="0" fillId="2" borderId="0" xfId="0" applyNumberFormat="1" applyFill="1" applyBorder="1" applyProtection="1">
      <protection locked="0"/>
    </xf>
    <xf numFmtId="9" fontId="0" fillId="0" borderId="0" xfId="0" applyNumberFormat="1" applyBorder="1"/>
    <xf numFmtId="0" fontId="0" fillId="3" borderId="3" xfId="0" applyFill="1" applyBorder="1"/>
    <xf numFmtId="0" fontId="0" fillId="3" borderId="0" xfId="0" applyFill="1" applyBorder="1"/>
    <xf numFmtId="4" fontId="0" fillId="3" borderId="0" xfId="0" applyNumberFormat="1" applyFill="1" applyBorder="1"/>
    <xf numFmtId="4" fontId="7" fillId="3" borderId="0" xfId="0" applyNumberFormat="1" applyFont="1" applyFill="1" applyBorder="1"/>
    <xf numFmtId="4" fontId="4" fillId="3" borderId="4" xfId="0" applyNumberFormat="1" applyFont="1" applyFill="1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4" xfId="0" applyBorder="1"/>
    <xf numFmtId="0" fontId="2" fillId="3" borderId="3" xfId="0" applyFont="1" applyFill="1" applyBorder="1"/>
    <xf numFmtId="2" fontId="0" fillId="0" borderId="0" xfId="0" applyNumberFormat="1"/>
    <xf numFmtId="0" fontId="0" fillId="0" borderId="0" xfId="0" applyAlignment="1"/>
    <xf numFmtId="4" fontId="0" fillId="0" borderId="13" xfId="0" applyNumberFormat="1" applyBorder="1"/>
    <xf numFmtId="0" fontId="2" fillId="0" borderId="0" xfId="0" applyFont="1" applyBorder="1"/>
    <xf numFmtId="165" fontId="0" fillId="0" borderId="0" xfId="0" applyNumberFormat="1"/>
    <xf numFmtId="3" fontId="0" fillId="2" borderId="0" xfId="0" applyNumberFormat="1" applyFill="1" applyProtection="1">
      <protection locked="0"/>
    </xf>
    <xf numFmtId="4" fontId="0" fillId="0" borderId="14" xfId="0" applyNumberFormat="1" applyBorder="1"/>
    <xf numFmtId="4" fontId="0" fillId="0" borderId="0" xfId="0" applyNumberFormat="1" applyFill="1" applyBorder="1" applyProtection="1"/>
    <xf numFmtId="4" fontId="0" fillId="2" borderId="0" xfId="0" applyNumberFormat="1" applyFill="1" applyProtection="1">
      <protection locked="0"/>
    </xf>
    <xf numFmtId="0" fontId="2" fillId="0" borderId="3" xfId="0" applyFont="1" applyBorder="1"/>
    <xf numFmtId="4" fontId="2" fillId="0" borderId="0" xfId="0" applyNumberFormat="1" applyFont="1"/>
    <xf numFmtId="4" fontId="2" fillId="4" borderId="0" xfId="0" applyNumberFormat="1" applyFont="1" applyFill="1"/>
    <xf numFmtId="0" fontId="0" fillId="0" borderId="3" xfId="0" applyFill="1" applyBorder="1"/>
    <xf numFmtId="4" fontId="2" fillId="0" borderId="4" xfId="0" applyNumberFormat="1" applyFont="1" applyBorder="1"/>
    <xf numFmtId="4" fontId="2" fillId="4" borderId="4" xfId="0" applyNumberFormat="1" applyFont="1" applyFill="1" applyBorder="1"/>
    <xf numFmtId="0" fontId="0" fillId="0" borderId="8" xfId="0" applyBorder="1"/>
    <xf numFmtId="4" fontId="0" fillId="0" borderId="0" xfId="0" applyNumberFormat="1" applyFill="1" applyProtection="1">
      <protection locked="0"/>
    </xf>
    <xf numFmtId="4" fontId="0" fillId="2" borderId="7" xfId="0" applyNumberFormat="1" applyFill="1" applyBorder="1" applyProtection="1">
      <protection locked="0"/>
    </xf>
    <xf numFmtId="0" fontId="2" fillId="0" borderId="15" xfId="0" applyFont="1" applyBorder="1"/>
    <xf numFmtId="0" fontId="0" fillId="0" borderId="1" xfId="0" applyBorder="1"/>
    <xf numFmtId="0" fontId="0" fillId="0" borderId="16" xfId="0" applyBorder="1"/>
    <xf numFmtId="2" fontId="0" fillId="0" borderId="0" xfId="0" applyNumberFormat="1" applyBorder="1"/>
    <xf numFmtId="1" fontId="0" fillId="2" borderId="0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4" fontId="2" fillId="0" borderId="8" xfId="0" applyNumberFormat="1" applyFont="1" applyBorder="1"/>
    <xf numFmtId="2" fontId="0" fillId="0" borderId="4" xfId="0" applyNumberFormat="1" applyBorder="1"/>
    <xf numFmtId="4" fontId="0" fillId="2" borderId="4" xfId="0" applyNumberFormat="1" applyFill="1" applyBorder="1" applyProtection="1">
      <protection locked="0"/>
    </xf>
    <xf numFmtId="4" fontId="2" fillId="0" borderId="7" xfId="0" applyNumberFormat="1" applyFont="1" applyBorder="1"/>
    <xf numFmtId="4" fontId="0" fillId="0" borderId="4" xfId="0" applyNumberFormat="1" applyFill="1" applyBorder="1" applyProtection="1"/>
    <xf numFmtId="3" fontId="2" fillId="0" borderId="0" xfId="0" applyNumberFormat="1" applyFont="1"/>
    <xf numFmtId="4" fontId="0" fillId="0" borderId="3" xfId="0" applyNumberFormat="1" applyBorder="1"/>
    <xf numFmtId="4" fontId="0" fillId="2" borderId="6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0" fontId="0" fillId="0" borderId="20" xfId="0" applyBorder="1"/>
    <xf numFmtId="0" fontId="0" fillId="0" borderId="19" xfId="0" applyBorder="1" applyAlignment="1">
      <alignment horizontal="right"/>
    </xf>
    <xf numFmtId="0" fontId="0" fillId="0" borderId="19" xfId="0" applyBorder="1"/>
    <xf numFmtId="2" fontId="0" fillId="0" borderId="20" xfId="0" applyNumberFormat="1" applyBorder="1"/>
    <xf numFmtId="0" fontId="0" fillId="0" borderId="20" xfId="0" applyFill="1" applyBorder="1" applyProtection="1"/>
    <xf numFmtId="0" fontId="0" fillId="3" borderId="1" xfId="0" applyFill="1" applyBorder="1"/>
    <xf numFmtId="4" fontId="4" fillId="3" borderId="16" xfId="0" applyNumberFormat="1" applyFont="1" applyFill="1" applyBorder="1"/>
    <xf numFmtId="0" fontId="0" fillId="0" borderId="8" xfId="0" applyBorder="1" applyAlignment="1">
      <alignment horizontal="right"/>
    </xf>
    <xf numFmtId="0" fontId="3" fillId="0" borderId="19" xfId="0" applyFont="1" applyFill="1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0" fontId="0" fillId="0" borderId="4" xfId="0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5" borderId="16" xfId="0" applyFill="1" applyBorder="1"/>
    <xf numFmtId="0" fontId="0" fillId="5" borderId="1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6" fillId="0" borderId="0" xfId="0" applyFont="1" applyBorder="1"/>
    <xf numFmtId="4" fontId="6" fillId="0" borderId="0" xfId="0" applyNumberFormat="1" applyFont="1" applyBorder="1"/>
    <xf numFmtId="4" fontId="6" fillId="0" borderId="4" xfId="0" applyNumberFormat="1" applyFont="1" applyBorder="1"/>
    <xf numFmtId="4" fontId="4" fillId="0" borderId="8" xfId="0" applyNumberFormat="1" applyFont="1" applyBorder="1"/>
    <xf numFmtId="0" fontId="0" fillId="0" borderId="23" xfId="0" applyBorder="1"/>
    <xf numFmtId="0" fontId="2" fillId="0" borderId="20" xfId="0" applyFont="1" applyFill="1" applyBorder="1" applyProtection="1"/>
    <xf numFmtId="0" fontId="9" fillId="0" borderId="0" xfId="0" applyFont="1"/>
    <xf numFmtId="0" fontId="10" fillId="0" borderId="0" xfId="0" applyFont="1"/>
    <xf numFmtId="0" fontId="10" fillId="0" borderId="0" xfId="0" applyFont="1" applyFill="1" applyProtection="1"/>
    <xf numFmtId="0" fontId="11" fillId="0" borderId="21" xfId="0" applyFont="1" applyBorder="1"/>
    <xf numFmtId="0" fontId="12" fillId="0" borderId="0" xfId="0" applyFont="1" applyAlignment="1">
      <alignment horizontal="center"/>
    </xf>
    <xf numFmtId="14" fontId="0" fillId="0" borderId="0" xfId="0" applyNumberFormat="1"/>
    <xf numFmtId="0" fontId="0" fillId="0" borderId="12" xfId="0" applyBorder="1"/>
    <xf numFmtId="0" fontId="0" fillId="0" borderId="24" xfId="0" applyBorder="1"/>
    <xf numFmtId="4" fontId="4" fillId="0" borderId="0" xfId="0" applyNumberFormat="1" applyFont="1"/>
    <xf numFmtId="0" fontId="0" fillId="2" borderId="25" xfId="0" applyFill="1" applyBorder="1"/>
    <xf numFmtId="0" fontId="0" fillId="2" borderId="12" xfId="0" applyFill="1" applyBorder="1"/>
    <xf numFmtId="0" fontId="0" fillId="0" borderId="25" xfId="0" applyBorder="1" applyAlignment="1">
      <alignment horizontal="center"/>
    </xf>
    <xf numFmtId="0" fontId="2" fillId="6" borderId="3" xfId="0" applyFont="1" applyFill="1" applyBorder="1"/>
    <xf numFmtId="4" fontId="14" fillId="0" borderId="0" xfId="0" applyNumberFormat="1" applyFont="1" applyBorder="1" applyAlignment="1">
      <alignment horizontal="center" wrapText="1"/>
    </xf>
    <xf numFmtId="166" fontId="15" fillId="0" borderId="0" xfId="0" applyNumberFormat="1" applyFont="1" applyBorder="1" applyAlignment="1">
      <alignment horizontal="right"/>
    </xf>
    <xf numFmtId="0" fontId="16" fillId="0" borderId="19" xfId="0" applyFont="1" applyBorder="1"/>
    <xf numFmtId="2" fontId="16" fillId="0" borderId="20" xfId="0" applyNumberFormat="1" applyFont="1" applyBorder="1"/>
    <xf numFmtId="0" fontId="16" fillId="0" borderId="26" xfId="0" applyFont="1" applyBorder="1"/>
    <xf numFmtId="2" fontId="16" fillId="0" borderId="27" xfId="0" applyNumberFormat="1" applyFont="1" applyBorder="1"/>
    <xf numFmtId="4" fontId="10" fillId="0" borderId="28" xfId="0" applyNumberFormat="1" applyFont="1" applyBorder="1" applyProtection="1">
      <protection hidden="1"/>
    </xf>
    <xf numFmtId="0" fontId="0" fillId="0" borderId="3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/>
    <xf numFmtId="0" fontId="0" fillId="0" borderId="0" xfId="0" applyFill="1" applyBorder="1"/>
    <xf numFmtId="4" fontId="0" fillId="0" borderId="4" xfId="0" applyNumberFormat="1" applyFill="1" applyBorder="1" applyProtection="1">
      <protection locked="0"/>
    </xf>
    <xf numFmtId="0" fontId="11" fillId="0" borderId="19" xfId="0" applyFont="1" applyFill="1" applyBorder="1"/>
    <xf numFmtId="0" fontId="6" fillId="0" borderId="22" xfId="0" applyFont="1" applyBorder="1"/>
    <xf numFmtId="0" fontId="9" fillId="0" borderId="3" xfId="0" applyFont="1" applyBorder="1"/>
    <xf numFmtId="4" fontId="0" fillId="7" borderId="0" xfId="0" applyNumberFormat="1" applyFill="1" applyBorder="1"/>
    <xf numFmtId="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9" fillId="0" borderId="0" xfId="0" applyFont="1" applyBorder="1"/>
    <xf numFmtId="4" fontId="9" fillId="0" borderId="20" xfId="0" applyNumberFormat="1" applyFont="1" applyBorder="1"/>
    <xf numFmtId="0" fontId="9" fillId="0" borderId="20" xfId="0" applyFont="1" applyBorder="1"/>
    <xf numFmtId="2" fontId="9" fillId="0" borderId="20" xfId="0" applyNumberFormat="1" applyFont="1" applyBorder="1"/>
    <xf numFmtId="1" fontId="0" fillId="8" borderId="0" xfId="0" applyNumberFormat="1" applyFill="1"/>
    <xf numFmtId="0" fontId="0" fillId="0" borderId="20" xfId="0" applyFill="1" applyBorder="1" applyProtection="1">
      <protection locked="0"/>
    </xf>
    <xf numFmtId="0" fontId="0" fillId="0" borderId="23" xfId="0" applyFill="1" applyBorder="1" applyProtection="1"/>
    <xf numFmtId="0" fontId="0" fillId="0" borderId="23" xfId="0" applyFill="1" applyBorder="1" applyProtection="1">
      <protection locked="0"/>
    </xf>
    <xf numFmtId="0" fontId="0" fillId="0" borderId="19" xfId="0" applyFont="1" applyFill="1" applyBorder="1"/>
    <xf numFmtId="3" fontId="0" fillId="0" borderId="20" xfId="0" applyNumberFormat="1" applyFill="1" applyBorder="1"/>
    <xf numFmtId="0" fontId="9" fillId="0" borderId="19" xfId="0" applyFont="1" applyBorder="1"/>
    <xf numFmtId="4" fontId="9" fillId="0" borderId="0" xfId="0" applyNumberFormat="1" applyFont="1" applyBorder="1"/>
    <xf numFmtId="3" fontId="0" fillId="0" borderId="0" xfId="0" applyNumberFormat="1"/>
    <xf numFmtId="3" fontId="9" fillId="0" borderId="0" xfId="0" applyNumberFormat="1" applyFont="1"/>
    <xf numFmtId="0" fontId="19" fillId="0" borderId="0" xfId="0" applyFont="1" applyBorder="1"/>
    <xf numFmtId="0" fontId="6" fillId="0" borderId="0" xfId="0" applyFont="1" applyAlignment="1">
      <alignment horizontal="center"/>
    </xf>
    <xf numFmtId="167" fontId="0" fillId="0" borderId="0" xfId="0" applyNumberFormat="1"/>
    <xf numFmtId="167" fontId="0" fillId="0" borderId="20" xfId="0" applyNumberFormat="1" applyBorder="1"/>
    <xf numFmtId="167" fontId="0" fillId="0" borderId="22" xfId="0" applyNumberFormat="1" applyBorder="1"/>
    <xf numFmtId="167" fontId="9" fillId="0" borderId="20" xfId="0" applyNumberFormat="1" applyFont="1" applyBorder="1"/>
    <xf numFmtId="6" fontId="0" fillId="0" borderId="0" xfId="0" applyNumberFormat="1" applyBorder="1"/>
    <xf numFmtId="4" fontId="0" fillId="0" borderId="0" xfId="0" applyNumberFormat="1" applyFill="1" applyBorder="1"/>
    <xf numFmtId="0" fontId="0" fillId="0" borderId="0" xfId="0" applyFill="1" applyBorder="1" applyProtection="1"/>
    <xf numFmtId="0" fontId="9" fillId="0" borderId="19" xfId="0" applyFont="1" applyFill="1" applyBorder="1"/>
    <xf numFmtId="0" fontId="9" fillId="0" borderId="0" xfId="0" applyFont="1" applyBorder="1" applyAlignment="1">
      <alignment horizontal="center"/>
    </xf>
    <xf numFmtId="6" fontId="0" fillId="0" borderId="20" xfId="0" applyNumberFormat="1" applyBorder="1"/>
    <xf numFmtId="0" fontId="9" fillId="0" borderId="3" xfId="0" applyFont="1" applyFill="1" applyBorder="1"/>
    <xf numFmtId="0" fontId="0" fillId="0" borderId="0" xfId="0" applyAlignment="1">
      <alignment horizontal="left"/>
    </xf>
    <xf numFmtId="168" fontId="0" fillId="0" borderId="0" xfId="0" applyNumberFormat="1"/>
    <xf numFmtId="14" fontId="9" fillId="0" borderId="20" xfId="0" applyNumberFormat="1" applyFont="1" applyBorder="1"/>
    <xf numFmtId="0" fontId="0" fillId="2" borderId="0" xfId="0" applyFill="1" applyAlignment="1" applyProtection="1">
      <alignment horizontal="center"/>
      <protection locked="0"/>
    </xf>
    <xf numFmtId="14" fontId="9" fillId="2" borderId="0" xfId="0" applyNumberFormat="1" applyFont="1" applyFill="1" applyProtection="1">
      <protection locked="0"/>
    </xf>
    <xf numFmtId="0" fontId="9" fillId="0" borderId="19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0" fillId="10" borderId="0" xfId="0" applyNumberFormat="1" applyFill="1" applyProtection="1">
      <protection locked="0"/>
    </xf>
    <xf numFmtId="0" fontId="9" fillId="0" borderId="7" xfId="0" applyFont="1" applyBorder="1"/>
    <xf numFmtId="3" fontId="0" fillId="2" borderId="7" xfId="0" applyNumberFormat="1" applyFill="1" applyBorder="1" applyProtection="1">
      <protection locked="0"/>
    </xf>
    <xf numFmtId="10" fontId="11" fillId="0" borderId="0" xfId="1" applyNumberFormat="1" applyFont="1"/>
    <xf numFmtId="10" fontId="11" fillId="0" borderId="7" xfId="1" applyNumberFormat="1" applyFont="1" applyBorder="1"/>
    <xf numFmtId="10" fontId="11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/>
    <xf numFmtId="4" fontId="10" fillId="0" borderId="0" xfId="0" applyNumberFormat="1" applyFont="1" applyBorder="1" applyProtection="1">
      <protection hidden="1"/>
    </xf>
    <xf numFmtId="0" fontId="3" fillId="0" borderId="23" xfId="0" applyFont="1" applyBorder="1"/>
    <xf numFmtId="0" fontId="9" fillId="0" borderId="23" xfId="0" applyFont="1" applyBorder="1"/>
    <xf numFmtId="0" fontId="2" fillId="0" borderId="23" xfId="0" applyFont="1" applyFill="1" applyBorder="1" applyProtection="1"/>
    <xf numFmtId="0" fontId="0" fillId="9" borderId="3" xfId="0" applyFill="1" applyBorder="1"/>
    <xf numFmtId="0" fontId="0" fillId="9" borderId="0" xfId="0" applyFill="1" applyBorder="1"/>
    <xf numFmtId="0" fontId="0" fillId="9" borderId="4" xfId="0" applyFill="1" applyBorder="1"/>
    <xf numFmtId="0" fontId="9" fillId="9" borderId="3" xfId="0" applyFont="1" applyFill="1" applyBorder="1"/>
    <xf numFmtId="0" fontId="2" fillId="9" borderId="3" xfId="0" applyFont="1" applyFill="1" applyBorder="1"/>
    <xf numFmtId="0" fontId="0" fillId="11" borderId="16" xfId="0" applyFill="1" applyBorder="1"/>
    <xf numFmtId="0" fontId="0" fillId="11" borderId="1" xfId="0" applyFill="1" applyBorder="1"/>
    <xf numFmtId="4" fontId="0" fillId="8" borderId="0" xfId="0" applyNumberFormat="1" applyFill="1" applyBorder="1" applyProtection="1">
      <protection locked="0"/>
    </xf>
    <xf numFmtId="4" fontId="0" fillId="8" borderId="0" xfId="0" applyNumberFormat="1" applyFill="1" applyBorder="1"/>
    <xf numFmtId="0" fontId="0" fillId="0" borderId="7" xfId="0" applyBorder="1" applyAlignment="1">
      <alignment horizontal="right"/>
    </xf>
    <xf numFmtId="4" fontId="0" fillId="8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9" fillId="0" borderId="21" xfId="0" applyFont="1" applyBorder="1"/>
    <xf numFmtId="2" fontId="0" fillId="8" borderId="0" xfId="0" applyNumberFormat="1" applyFill="1" applyBorder="1" applyProtection="1">
      <protection locked="0"/>
    </xf>
    <xf numFmtId="4" fontId="9" fillId="0" borderId="0" xfId="0" quotePrefix="1" applyNumberFormat="1" applyFont="1" applyBorder="1"/>
    <xf numFmtId="3" fontId="5" fillId="8" borderId="0" xfId="0" applyNumberFormat="1" applyFont="1" applyFill="1" applyBorder="1" applyAlignment="1" applyProtection="1">
      <alignment horizontal="center"/>
      <protection locked="0"/>
    </xf>
    <xf numFmtId="4" fontId="5" fillId="3" borderId="0" xfId="0" applyNumberFormat="1" applyFont="1" applyFill="1" applyBorder="1"/>
    <xf numFmtId="0" fontId="5" fillId="0" borderId="19" xfId="0" applyFont="1" applyFill="1" applyBorder="1"/>
    <xf numFmtId="0" fontId="5" fillId="0" borderId="0" xfId="0" applyFont="1" applyBorder="1"/>
    <xf numFmtId="0" fontId="3" fillId="0" borderId="21" xfId="0" applyFont="1" applyBorder="1"/>
    <xf numFmtId="0" fontId="3" fillId="0" borderId="0" xfId="0" applyFont="1" applyBorder="1"/>
    <xf numFmtId="3" fontId="5" fillId="2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0" fillId="0" borderId="0" xfId="0" applyBorder="1" applyAlignme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11" borderId="15" xfId="0" applyFont="1" applyFill="1" applyBorder="1" applyAlignment="1"/>
    <xf numFmtId="0" fontId="4" fillId="11" borderId="1" xfId="0" applyFont="1" applyFill="1" applyBorder="1" applyAlignment="1"/>
    <xf numFmtId="0" fontId="4" fillId="3" borderId="15" xfId="0" applyFont="1" applyFill="1" applyBorder="1" applyAlignment="1"/>
    <xf numFmtId="0" fontId="4" fillId="3" borderId="1" xfId="0" applyFont="1" applyFill="1" applyBorder="1" applyAlignment="1"/>
    <xf numFmtId="0" fontId="9" fillId="2" borderId="30" xfId="0" applyFont="1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9" fillId="2" borderId="32" xfId="0" applyFont="1" applyFill="1" applyBorder="1" applyAlignment="1" applyProtection="1">
      <protection locked="0"/>
    </xf>
    <xf numFmtId="0" fontId="0" fillId="2" borderId="33" xfId="0" applyFill="1" applyBorder="1" applyAlignment="1" applyProtection="1">
      <protection locked="0"/>
    </xf>
    <xf numFmtId="0" fontId="9" fillId="0" borderId="3" xfId="0" applyFont="1" applyBorder="1" applyAlignment="1">
      <alignment horizontal="center"/>
    </xf>
    <xf numFmtId="0" fontId="0" fillId="0" borderId="4" xfId="0" applyBorder="1" applyAlignment="1"/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8" borderId="19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8" fillId="0" borderId="0" xfId="0" applyFont="1" applyAlignment="1"/>
    <xf numFmtId="0" fontId="9" fillId="0" borderId="0" xfId="0" applyFont="1" applyAlignment="1"/>
    <xf numFmtId="0" fontId="9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10" borderId="0" xfId="0" applyFill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30" xfId="0" applyFill="1" applyBorder="1" applyAlignment="1" applyProtection="1">
      <protection locked="0"/>
    </xf>
    <xf numFmtId="0" fontId="9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4" fillId="5" borderId="15" xfId="0" applyFont="1" applyFill="1" applyBorder="1" applyAlignment="1"/>
    <xf numFmtId="0" fontId="4" fillId="5" borderId="1" xfId="0" applyFont="1" applyFill="1" applyBorder="1" applyAlignment="1"/>
    <xf numFmtId="0" fontId="0" fillId="2" borderId="32" xfId="0" applyFill="1" applyBorder="1" applyAlignment="1" applyProtection="1">
      <protection locked="0"/>
    </xf>
    <xf numFmtId="0" fontId="0" fillId="0" borderId="3" xfId="0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3"/>
  <sheetViews>
    <sheetView tabSelected="1" zoomScaleNormal="100" workbookViewId="0"/>
  </sheetViews>
  <sheetFormatPr defaultRowHeight="12.75" x14ac:dyDescent="0.2"/>
  <cols>
    <col min="3" max="3" width="9.28515625" bestFit="1" customWidth="1"/>
    <col min="4" max="4" width="10.85546875" bestFit="1" customWidth="1"/>
    <col min="5" max="5" width="9.28515625" bestFit="1" customWidth="1"/>
    <col min="6" max="6" width="10.5703125" bestFit="1" customWidth="1"/>
    <col min="7" max="7" width="9.85546875" bestFit="1" customWidth="1"/>
    <col min="8" max="8" width="14" customWidth="1"/>
    <col min="9" max="9" width="9.28515625" customWidth="1"/>
    <col min="10" max="10" width="13.5703125" bestFit="1" customWidth="1"/>
    <col min="11" max="11" width="15.7109375" customWidth="1"/>
    <col min="13" max="13" width="20.140625" bestFit="1" customWidth="1"/>
    <col min="14" max="14" width="10.7109375" bestFit="1" customWidth="1"/>
    <col min="16" max="16" width="9.42578125" bestFit="1" customWidth="1"/>
    <col min="19" max="19" width="9.42578125" bestFit="1" customWidth="1"/>
  </cols>
  <sheetData>
    <row r="1" spans="1:14" ht="15.75" x14ac:dyDescent="0.25">
      <c r="A1" s="5" t="s">
        <v>0</v>
      </c>
      <c r="H1" s="151"/>
      <c r="I1" s="225" t="s">
        <v>1</v>
      </c>
      <c r="J1" s="226"/>
      <c r="K1" s="226"/>
    </row>
    <row r="2" spans="1:14" ht="14.25" x14ac:dyDescent="0.2">
      <c r="A2" s="105" t="s">
        <v>2</v>
      </c>
      <c r="H2" s="151"/>
      <c r="I2" s="206"/>
      <c r="J2" s="207"/>
      <c r="K2" s="151" t="s">
        <v>3</v>
      </c>
      <c r="M2" s="218" t="s">
        <v>4</v>
      </c>
      <c r="N2" s="219"/>
    </row>
    <row r="3" spans="1:14" x14ac:dyDescent="0.2">
      <c r="I3" s="105"/>
      <c r="J3" s="227"/>
      <c r="K3" s="228"/>
      <c r="M3" s="220" t="s">
        <v>5</v>
      </c>
      <c r="N3" s="221"/>
    </row>
    <row r="4" spans="1:14" x14ac:dyDescent="0.2">
      <c r="A4" s="176" t="s">
        <v>6</v>
      </c>
      <c r="F4" s="204" t="s">
        <v>7</v>
      </c>
      <c r="M4" s="222" t="s">
        <v>8</v>
      </c>
      <c r="N4" s="222"/>
    </row>
    <row r="5" spans="1:14" x14ac:dyDescent="0.2">
      <c r="E5" s="207" t="s">
        <v>9</v>
      </c>
      <c r="F5" s="229" t="s">
        <v>10</v>
      </c>
      <c r="G5" s="230"/>
      <c r="H5" s="230"/>
      <c r="I5" s="230"/>
      <c r="J5" s="230"/>
      <c r="K5" s="230"/>
      <c r="M5" s="77"/>
      <c r="N5" s="78"/>
    </row>
    <row r="6" spans="1:14" x14ac:dyDescent="0.2">
      <c r="A6" s="105" t="s">
        <v>11</v>
      </c>
      <c r="F6" s="231"/>
      <c r="G6" s="231"/>
      <c r="M6" s="168" t="s">
        <v>12</v>
      </c>
      <c r="N6" s="141">
        <v>2021</v>
      </c>
    </row>
    <row r="7" spans="1:14" x14ac:dyDescent="0.2">
      <c r="E7" s="207" t="s">
        <v>13</v>
      </c>
      <c r="F7" s="166">
        <v>8</v>
      </c>
      <c r="G7" s="169" t="s">
        <v>14</v>
      </c>
      <c r="M7" s="79"/>
      <c r="N7" s="141"/>
    </row>
    <row r="8" spans="1:14" x14ac:dyDescent="0.2">
      <c r="E8" s="207" t="s">
        <v>15</v>
      </c>
      <c r="F8" s="166">
        <v>1</v>
      </c>
      <c r="G8" s="163" t="str">
        <f>IF(F8=0,"  nee","  ja")</f>
        <v xml:space="preserve">  ja</v>
      </c>
      <c r="M8" s="146" t="s">
        <v>16</v>
      </c>
      <c r="N8" s="78"/>
    </row>
    <row r="9" spans="1:14" x14ac:dyDescent="0.2">
      <c r="E9" s="207" t="s">
        <v>17</v>
      </c>
      <c r="F9" s="166">
        <v>0</v>
      </c>
      <c r="G9" s="163"/>
      <c r="J9" s="105"/>
      <c r="M9" s="146" t="s">
        <v>18</v>
      </c>
      <c r="N9" s="153">
        <v>542</v>
      </c>
    </row>
    <row r="10" spans="1:14" x14ac:dyDescent="0.2">
      <c r="M10" s="146" t="s">
        <v>19</v>
      </c>
      <c r="N10" s="153">
        <v>387</v>
      </c>
    </row>
    <row r="11" spans="1:14" x14ac:dyDescent="0.2">
      <c r="C11" s="6" t="s">
        <v>20</v>
      </c>
      <c r="E11" s="207" t="s">
        <v>21</v>
      </c>
      <c r="F11" s="45">
        <v>106</v>
      </c>
      <c r="G11" s="173">
        <f>SUM(F11/$F$14)</f>
        <v>0.45106382978723403</v>
      </c>
      <c r="M11" s="80"/>
      <c r="N11" s="78"/>
    </row>
    <row r="12" spans="1:14" x14ac:dyDescent="0.2">
      <c r="E12" s="207" t="s">
        <v>22</v>
      </c>
      <c r="F12" s="45">
        <v>129</v>
      </c>
      <c r="G12" s="173">
        <f>SUM(F12/$F$14)</f>
        <v>0.54893617021276597</v>
      </c>
      <c r="M12" s="146" t="s">
        <v>23</v>
      </c>
      <c r="N12" s="138"/>
    </row>
    <row r="13" spans="1:14" x14ac:dyDescent="0.2">
      <c r="E13" s="207" t="s">
        <v>24</v>
      </c>
      <c r="F13" s="172">
        <v>0</v>
      </c>
      <c r="G13" s="174">
        <f>SUM(F13/$F$14)</f>
        <v>0</v>
      </c>
      <c r="I13" s="105" t="s">
        <v>11</v>
      </c>
      <c r="M13" s="146" t="s">
        <v>25</v>
      </c>
      <c r="N13" s="165">
        <v>44197</v>
      </c>
    </row>
    <row r="14" spans="1:14" x14ac:dyDescent="0.2">
      <c r="E14" s="207" t="s">
        <v>26</v>
      </c>
      <c r="F14" s="149">
        <f>F11+F12+F13</f>
        <v>235</v>
      </c>
      <c r="G14" s="175">
        <f>SUM(G11:G13)</f>
        <v>1</v>
      </c>
      <c r="M14" s="146" t="s">
        <v>27</v>
      </c>
      <c r="N14" s="155">
        <v>89</v>
      </c>
    </row>
    <row r="15" spans="1:14" x14ac:dyDescent="0.2">
      <c r="M15" s="168" t="s">
        <v>28</v>
      </c>
      <c r="N15" s="138">
        <v>1</v>
      </c>
    </row>
    <row r="16" spans="1:14" x14ac:dyDescent="0.2">
      <c r="A16" s="177" t="s">
        <v>29</v>
      </c>
      <c r="I16" s="164"/>
      <c r="J16" s="105" t="s">
        <v>11</v>
      </c>
      <c r="M16" s="146">
        <v>30</v>
      </c>
      <c r="N16" s="138">
        <v>1</v>
      </c>
    </row>
    <row r="17" spans="1:19" x14ac:dyDescent="0.2">
      <c r="E17" s="207" t="s">
        <v>30</v>
      </c>
      <c r="F17" s="167">
        <v>30103</v>
      </c>
      <c r="H17" s="207" t="s">
        <v>31</v>
      </c>
      <c r="I17" s="193">
        <f>DATEDIF(F17,N13,"Y")</f>
        <v>38</v>
      </c>
      <c r="J17" s="105" t="s">
        <v>32</v>
      </c>
      <c r="M17" s="146">
        <v>31</v>
      </c>
      <c r="N17" s="138">
        <v>2</v>
      </c>
    </row>
    <row r="18" spans="1:19" x14ac:dyDescent="0.2">
      <c r="E18" s="207" t="s">
        <v>33</v>
      </c>
      <c r="F18" s="3">
        <v>1</v>
      </c>
      <c r="G18" s="163" t="str">
        <f>IF(F18=0,"   Ongehuwd","   Gehuwd")</f>
        <v xml:space="preserve">   Gehuwd</v>
      </c>
      <c r="K18" s="178">
        <f>J155</f>
        <v>36120</v>
      </c>
      <c r="M18" s="146">
        <v>32</v>
      </c>
      <c r="N18" s="138">
        <v>3</v>
      </c>
    </row>
    <row r="19" spans="1:19" x14ac:dyDescent="0.2">
      <c r="E19" s="207" t="s">
        <v>34</v>
      </c>
      <c r="F19" s="170">
        <f>_xlfn.IFS(I17&lt;=30,N16,I17=M17,N17,I17=M18,N18,I17=M19,N19,I17=M20,N20,I17=M21,N21,I17=M22,N22,I17=M23,N23,I17=M24,N24,I17=M25,N25,I17=M26,N26,I17=M27,N27,I17=M28,N28,I17=M29,N29,I17&gt;=44,N30)</f>
        <v>9</v>
      </c>
      <c r="G19" s="41" t="s">
        <v>35</v>
      </c>
      <c r="H19" s="41"/>
      <c r="I19" s="41"/>
      <c r="J19" s="41"/>
      <c r="M19" s="146">
        <v>33</v>
      </c>
      <c r="N19" s="138">
        <v>4</v>
      </c>
    </row>
    <row r="20" spans="1:19" x14ac:dyDescent="0.2">
      <c r="M20" s="146">
        <v>34</v>
      </c>
      <c r="N20" s="138">
        <v>5</v>
      </c>
    </row>
    <row r="21" spans="1:19" x14ac:dyDescent="0.2">
      <c r="A21" s="105"/>
      <c r="E21" s="207" t="s">
        <v>36</v>
      </c>
      <c r="F21" s="3">
        <f>N75/12*F7</f>
        <v>56</v>
      </c>
      <c r="G21" s="105" t="s">
        <v>37</v>
      </c>
      <c r="M21" s="146">
        <v>35</v>
      </c>
      <c r="N21" s="138">
        <v>6</v>
      </c>
    </row>
    <row r="22" spans="1:19" x14ac:dyDescent="0.2">
      <c r="E22" s="74"/>
      <c r="M22" s="146">
        <v>36</v>
      </c>
      <c r="N22" s="138">
        <v>7</v>
      </c>
    </row>
    <row r="23" spans="1:19" x14ac:dyDescent="0.2">
      <c r="A23" s="1" t="s">
        <v>38</v>
      </c>
      <c r="M23" s="146">
        <v>37</v>
      </c>
      <c r="N23" s="138">
        <v>8</v>
      </c>
    </row>
    <row r="24" spans="1:19" x14ac:dyDescent="0.2">
      <c r="A24" s="34" t="s">
        <v>39</v>
      </c>
      <c r="B24" s="35"/>
      <c r="C24" s="35">
        <f>N6</f>
        <v>2021</v>
      </c>
      <c r="D24" s="35"/>
      <c r="E24" s="35"/>
      <c r="F24" s="35"/>
      <c r="G24" s="232" t="s">
        <v>40</v>
      </c>
      <c r="H24" s="232"/>
      <c r="I24" s="36"/>
      <c r="J24" s="232" t="str">
        <f>"kosten bij "&amp;$F$7&amp;"/12e"</f>
        <v>kosten bij 8/12e</v>
      </c>
      <c r="K24" s="233"/>
      <c r="M24" s="146">
        <v>38</v>
      </c>
      <c r="N24" s="138">
        <v>9</v>
      </c>
    </row>
    <row r="25" spans="1:19" x14ac:dyDescent="0.2">
      <c r="A25" s="11"/>
      <c r="B25" s="12"/>
      <c r="C25" s="12"/>
      <c r="D25" s="12"/>
      <c r="E25" s="12"/>
      <c r="F25" s="12"/>
      <c r="G25" s="13"/>
      <c r="H25" s="13"/>
      <c r="I25" s="9"/>
      <c r="J25" s="13"/>
      <c r="K25" s="15"/>
      <c r="M25" s="146">
        <v>39</v>
      </c>
      <c r="N25" s="138">
        <v>10</v>
      </c>
    </row>
    <row r="26" spans="1:19" x14ac:dyDescent="0.2">
      <c r="B26" s="12"/>
      <c r="C26" s="12"/>
      <c r="D26" s="12"/>
      <c r="E26" s="12"/>
      <c r="F26" s="12"/>
      <c r="G26" s="14"/>
      <c r="H26" s="14"/>
      <c r="I26" s="14"/>
      <c r="J26" s="14"/>
      <c r="K26" s="17"/>
      <c r="M26" s="146">
        <v>40</v>
      </c>
      <c r="N26" s="138">
        <v>11</v>
      </c>
      <c r="P26" s="105"/>
      <c r="S26" s="148"/>
    </row>
    <row r="27" spans="1:19" x14ac:dyDescent="0.2">
      <c r="A27" s="132" t="s">
        <v>41</v>
      </c>
      <c r="B27" s="12"/>
      <c r="C27" s="12"/>
      <c r="D27" s="12"/>
      <c r="E27" s="12"/>
      <c r="F27" s="12"/>
      <c r="G27" s="14"/>
      <c r="H27" s="134">
        <f>N33</f>
        <v>3796</v>
      </c>
      <c r="I27" s="14"/>
      <c r="J27" s="14"/>
      <c r="K27" s="17">
        <f>$F$7/12*H27</f>
        <v>2530.6666666666665</v>
      </c>
      <c r="M27" s="146">
        <v>41</v>
      </c>
      <c r="N27" s="138">
        <v>12</v>
      </c>
    </row>
    <row r="28" spans="1:19" x14ac:dyDescent="0.2">
      <c r="A28" s="11"/>
      <c r="B28" s="12"/>
      <c r="C28" s="12"/>
      <c r="D28" s="12"/>
      <c r="E28" s="12"/>
      <c r="F28" s="12"/>
      <c r="G28" s="14"/>
      <c r="H28" s="14"/>
      <c r="I28" s="14"/>
      <c r="J28" s="14"/>
      <c r="K28" s="17"/>
      <c r="M28" s="146">
        <v>42</v>
      </c>
      <c r="N28" s="138">
        <v>13</v>
      </c>
    </row>
    <row r="29" spans="1:19" x14ac:dyDescent="0.2">
      <c r="A29" s="132" t="s">
        <v>42</v>
      </c>
      <c r="B29" s="12"/>
      <c r="C29" s="12"/>
      <c r="D29" s="12"/>
      <c r="E29" s="12"/>
      <c r="F29" s="12"/>
      <c r="G29" s="134"/>
      <c r="H29" s="157">
        <f>N34</f>
        <v>513</v>
      </c>
      <c r="I29" s="14"/>
      <c r="K29" s="17">
        <f>$F$7/12*H29</f>
        <v>342</v>
      </c>
      <c r="M29" s="146">
        <v>43</v>
      </c>
      <c r="N29" s="138">
        <v>14</v>
      </c>
    </row>
    <row r="30" spans="1:19" x14ac:dyDescent="0.2">
      <c r="A30" s="11"/>
      <c r="B30" s="12"/>
      <c r="C30" s="12"/>
      <c r="D30" s="12"/>
      <c r="E30" s="12"/>
      <c r="F30" s="12"/>
      <c r="G30" s="14"/>
      <c r="I30" s="14"/>
      <c r="J30" s="14"/>
      <c r="K30" s="17"/>
      <c r="M30" s="146">
        <v>44</v>
      </c>
      <c r="N30" s="138">
        <v>15</v>
      </c>
      <c r="O30" s="149"/>
    </row>
    <row r="31" spans="1:19" ht="13.5" thickBot="1" x14ac:dyDescent="0.25">
      <c r="A31" s="132" t="s">
        <v>43</v>
      </c>
      <c r="B31" s="12"/>
      <c r="C31" s="12"/>
      <c r="D31" s="12"/>
      <c r="E31" s="12"/>
      <c r="F31" s="43" t="s">
        <v>44</v>
      </c>
      <c r="G31" s="14"/>
      <c r="H31" s="10">
        <f>H27+H29</f>
        <v>4309</v>
      </c>
      <c r="I31" s="14"/>
      <c r="J31" s="14"/>
      <c r="K31" s="19">
        <f>SUM(K27:K30)</f>
        <v>2872.6666666666665</v>
      </c>
      <c r="M31" s="168" t="s">
        <v>45</v>
      </c>
      <c r="N31" s="78">
        <v>15</v>
      </c>
    </row>
    <row r="32" spans="1:19" ht="13.5" thickTop="1" x14ac:dyDescent="0.2">
      <c r="A32" s="11"/>
      <c r="B32" s="12"/>
      <c r="C32" s="12"/>
      <c r="D32" s="12"/>
      <c r="E32" s="12"/>
      <c r="F32" s="12"/>
      <c r="G32" s="14"/>
      <c r="H32" s="14"/>
      <c r="I32" s="14"/>
      <c r="J32" s="14"/>
      <c r="K32" s="17"/>
      <c r="M32" s="168"/>
      <c r="N32" s="12"/>
    </row>
    <row r="33" spans="1:17" x14ac:dyDescent="0.2">
      <c r="A33" s="16" t="s">
        <v>46</v>
      </c>
      <c r="B33" s="12"/>
      <c r="C33" s="12"/>
      <c r="D33" s="12"/>
      <c r="E33" s="12"/>
      <c r="F33" s="12"/>
      <c r="G33" s="14"/>
      <c r="H33" s="14"/>
      <c r="I33" s="14"/>
      <c r="J33" s="14"/>
      <c r="K33" s="17"/>
      <c r="M33" s="144" t="s">
        <v>47</v>
      </c>
      <c r="N33" s="156">
        <v>3796</v>
      </c>
    </row>
    <row r="34" spans="1:17" x14ac:dyDescent="0.2">
      <c r="A34" s="11" t="str">
        <f>IF($F$8=1,"Ambtswoning beschikbaar; geen vergoeding aan predikant","Vergoeding wegens gemis ambtswoning volgens tabel 2")</f>
        <v>Ambtswoning beschikbaar; geen vergoeding aan predikant</v>
      </c>
      <c r="B34" s="12"/>
      <c r="C34" s="12"/>
      <c r="D34" s="12"/>
      <c r="E34" s="12"/>
      <c r="F34" s="12"/>
      <c r="G34" s="14"/>
      <c r="H34" s="14">
        <f>IF($F$8=1,0,IF($N$87=2,$F$9,$N$88))</f>
        <v>0</v>
      </c>
      <c r="I34" s="14"/>
      <c r="J34" s="14"/>
      <c r="K34" s="17">
        <f>$F$7/12*H34</f>
        <v>0</v>
      </c>
      <c r="M34" s="144" t="s">
        <v>48</v>
      </c>
      <c r="N34" s="156">
        <v>513</v>
      </c>
      <c r="Q34" s="105" t="s">
        <v>11</v>
      </c>
    </row>
    <row r="35" spans="1:17" x14ac:dyDescent="0.2">
      <c r="A35" s="11"/>
      <c r="B35" s="12"/>
      <c r="C35" s="12"/>
      <c r="D35" s="12"/>
      <c r="E35" s="12"/>
      <c r="F35" s="12"/>
      <c r="G35" s="14"/>
      <c r="H35" s="14"/>
      <c r="I35" s="14"/>
      <c r="J35" s="14"/>
      <c r="K35" s="17"/>
      <c r="M35" s="159" t="s">
        <v>49</v>
      </c>
      <c r="N35" s="156"/>
    </row>
    <row r="36" spans="1:17" x14ac:dyDescent="0.2">
      <c r="A36" s="132" t="s">
        <v>50</v>
      </c>
      <c r="B36" s="12"/>
      <c r="C36" s="12"/>
      <c r="D36" s="12"/>
      <c r="E36" s="12" t="str">
        <f>IF(F18=0,"Ongehuwde predikant","Gehuwde predikant")</f>
        <v>Gehuwde predikant</v>
      </c>
      <c r="F36" s="12"/>
      <c r="H36" s="14">
        <f>IF(F18=0,N10,N9)</f>
        <v>542</v>
      </c>
      <c r="I36" s="14"/>
      <c r="K36" s="33">
        <f>$F$7/12*H36</f>
        <v>361.33333333333331</v>
      </c>
      <c r="M36" s="146" t="s">
        <v>51</v>
      </c>
      <c r="N36" s="161">
        <v>550</v>
      </c>
    </row>
    <row r="37" spans="1:17" ht="13.5" thickBot="1" x14ac:dyDescent="0.25">
      <c r="A37" s="11" t="s">
        <v>52</v>
      </c>
      <c r="B37" s="12"/>
      <c r="C37" s="12"/>
      <c r="D37" s="12"/>
      <c r="E37" s="12"/>
      <c r="F37" s="43" t="s">
        <v>53</v>
      </c>
      <c r="G37" s="14"/>
      <c r="H37" s="10">
        <f>H34+H36</f>
        <v>542</v>
      </c>
      <c r="I37" s="14"/>
      <c r="J37" s="14"/>
      <c r="K37" s="19">
        <f>K34+K36</f>
        <v>361.33333333333331</v>
      </c>
      <c r="M37" s="146" t="s">
        <v>54</v>
      </c>
      <c r="N37" s="78"/>
    </row>
    <row r="38" spans="1:17" ht="13.5" thickTop="1" x14ac:dyDescent="0.2">
      <c r="A38" s="11"/>
      <c r="B38" s="12"/>
      <c r="C38" s="12"/>
      <c r="D38" s="12"/>
      <c r="E38" s="12"/>
      <c r="F38" s="12"/>
      <c r="G38" s="14"/>
      <c r="H38" s="14"/>
      <c r="I38" s="14"/>
      <c r="J38" s="14"/>
      <c r="K38" s="17"/>
      <c r="M38" s="80" t="s">
        <v>32</v>
      </c>
      <c r="N38" s="82">
        <v>2021</v>
      </c>
    </row>
    <row r="39" spans="1:17" x14ac:dyDescent="0.2">
      <c r="A39" s="16" t="s">
        <v>55</v>
      </c>
      <c r="B39" s="12"/>
      <c r="C39" s="12"/>
      <c r="D39" s="12"/>
      <c r="E39" s="12"/>
      <c r="F39" s="12"/>
      <c r="G39" s="14"/>
      <c r="H39" s="14"/>
      <c r="I39" s="14"/>
      <c r="J39" s="14"/>
      <c r="K39" s="17"/>
      <c r="M39" s="80" t="s">
        <v>56</v>
      </c>
      <c r="N39" s="153">
        <v>6.9</v>
      </c>
    </row>
    <row r="40" spans="1:17" x14ac:dyDescent="0.2">
      <c r="A40" s="11"/>
      <c r="B40" s="12"/>
      <c r="C40" s="12"/>
      <c r="D40" s="12"/>
      <c r="E40" s="12"/>
      <c r="F40" s="12"/>
      <c r="G40" s="14"/>
      <c r="H40" s="14"/>
      <c r="I40" s="14"/>
      <c r="J40" s="14"/>
      <c r="K40" s="17"/>
      <c r="M40" s="80" t="s">
        <v>57</v>
      </c>
      <c r="N40" s="153">
        <v>6.9</v>
      </c>
    </row>
    <row r="41" spans="1:17" x14ac:dyDescent="0.2">
      <c r="A41" s="11" t="str">
        <f>"Vervoerskosten op declaratiebasis; auto: €"&amp;$N$84&amp;" per kilometer."</f>
        <v>Vervoerskosten op declaratiebasis; auto: €0,3 per kilometer.</v>
      </c>
      <c r="B41" s="12"/>
      <c r="C41" s="12"/>
      <c r="D41" s="12"/>
      <c r="E41" s="12"/>
      <c r="F41" s="12"/>
      <c r="G41" s="14"/>
      <c r="H41" s="14"/>
      <c r="I41" s="14"/>
      <c r="J41" s="14"/>
      <c r="K41" s="17"/>
      <c r="M41" s="80" t="s">
        <v>58</v>
      </c>
      <c r="N41" s="153">
        <v>0</v>
      </c>
    </row>
    <row r="42" spans="1:17" x14ac:dyDescent="0.2">
      <c r="A42" s="11"/>
      <c r="B42" s="12" t="s">
        <v>59</v>
      </c>
      <c r="C42" s="12"/>
      <c r="D42" s="12"/>
      <c r="E42" s="20">
        <v>0</v>
      </c>
      <c r="G42" s="14"/>
      <c r="H42" s="14">
        <f>$E42*$N$84</f>
        <v>0</v>
      </c>
      <c r="I42" s="14"/>
      <c r="J42" s="14"/>
      <c r="K42" s="17">
        <f>$E42*$N$84</f>
        <v>0</v>
      </c>
      <c r="M42" s="144" t="s">
        <v>60</v>
      </c>
      <c r="N42" s="145">
        <v>1300</v>
      </c>
    </row>
    <row r="43" spans="1:17" x14ac:dyDescent="0.2">
      <c r="A43" s="11"/>
      <c r="B43" s="12"/>
      <c r="C43" s="12"/>
      <c r="D43" s="12"/>
      <c r="E43" s="12"/>
      <c r="F43" s="12"/>
      <c r="G43" s="14"/>
      <c r="H43" s="14"/>
      <c r="I43" s="14"/>
      <c r="J43" s="14"/>
      <c r="K43" s="17"/>
      <c r="M43" s="144" t="s">
        <v>61</v>
      </c>
      <c r="N43" s="152">
        <f>N42*N39</f>
        <v>8970</v>
      </c>
    </row>
    <row r="44" spans="1:17" x14ac:dyDescent="0.2">
      <c r="A44" s="11" t="s">
        <v>62</v>
      </c>
      <c r="B44" s="12"/>
      <c r="C44" s="21" t="s">
        <v>63</v>
      </c>
      <c r="D44" s="22">
        <v>1200</v>
      </c>
      <c r="E44" s="12"/>
      <c r="F44" s="12"/>
      <c r="G44" s="14">
        <f>D44/12</f>
        <v>100</v>
      </c>
      <c r="H44" s="14"/>
      <c r="I44" s="14"/>
      <c r="J44" s="14">
        <f>$F$7/12*G44</f>
        <v>66.666666666666657</v>
      </c>
      <c r="K44" s="17"/>
      <c r="M44" s="144" t="s">
        <v>64</v>
      </c>
      <c r="N44" s="148">
        <f>F11+F12</f>
        <v>235</v>
      </c>
    </row>
    <row r="45" spans="1:17" x14ac:dyDescent="0.2">
      <c r="A45" s="11" t="s">
        <v>65</v>
      </c>
      <c r="B45" s="12"/>
      <c r="C45" s="12"/>
      <c r="D45" s="22">
        <v>480</v>
      </c>
      <c r="E45" s="12" t="s">
        <v>66</v>
      </c>
      <c r="F45" s="12"/>
      <c r="G45" s="14">
        <f>D45/12</f>
        <v>40</v>
      </c>
      <c r="H45" s="14"/>
      <c r="I45" s="14"/>
      <c r="J45" s="14">
        <f>G45</f>
        <v>40</v>
      </c>
      <c r="K45" s="17"/>
      <c r="N45" s="147"/>
    </row>
    <row r="46" spans="1:17" x14ac:dyDescent="0.2">
      <c r="A46" s="11" t="s">
        <v>67</v>
      </c>
      <c r="B46" s="12"/>
      <c r="C46" s="12"/>
      <c r="D46" s="22">
        <v>600</v>
      </c>
      <c r="E46" s="12"/>
      <c r="F46" s="12"/>
      <c r="G46" s="14">
        <f>D46/12</f>
        <v>50</v>
      </c>
      <c r="H46" s="14"/>
      <c r="I46" s="14"/>
      <c r="J46" s="14">
        <f>$F$7/12*G46</f>
        <v>33.333333333333329</v>
      </c>
      <c r="K46" s="17"/>
      <c r="M46" s="146" t="s">
        <v>68</v>
      </c>
    </row>
    <row r="47" spans="1:17" x14ac:dyDescent="0.2">
      <c r="A47" s="11"/>
      <c r="B47" s="12"/>
      <c r="C47" s="12"/>
      <c r="D47" s="22"/>
      <c r="E47" s="12"/>
      <c r="F47" s="12"/>
      <c r="G47" s="9"/>
      <c r="H47" s="14">
        <f>SUM(G44:G46)</f>
        <v>190</v>
      </c>
      <c r="I47" s="14"/>
      <c r="J47" s="9"/>
      <c r="K47" s="17">
        <f>SUM(J44:J46)</f>
        <v>140</v>
      </c>
      <c r="M47" s="146" t="s">
        <v>69</v>
      </c>
      <c r="N47" s="153">
        <v>17.600000000000001</v>
      </c>
    </row>
    <row r="48" spans="1:17" x14ac:dyDescent="0.2">
      <c r="A48" s="132"/>
      <c r="B48" s="12"/>
      <c r="C48" s="12"/>
      <c r="D48" s="12"/>
      <c r="E48" s="12"/>
      <c r="F48" s="12"/>
      <c r="G48" s="14"/>
      <c r="H48" s="14"/>
      <c r="I48" s="14"/>
      <c r="J48" s="14"/>
      <c r="K48" s="17"/>
      <c r="M48" s="146" t="s">
        <v>70</v>
      </c>
      <c r="N48" s="153">
        <v>17.600000000000001</v>
      </c>
    </row>
    <row r="49" spans="1:14" x14ac:dyDescent="0.2">
      <c r="A49" s="132" t="s">
        <v>71</v>
      </c>
      <c r="B49" s="12"/>
      <c r="C49" s="12"/>
      <c r="D49" s="12"/>
      <c r="E49" s="12"/>
      <c r="F49" s="12"/>
      <c r="H49" s="14">
        <v>50</v>
      </c>
      <c r="I49" s="14"/>
      <c r="J49" s="14">
        <f>$F$7/12*H49</f>
        <v>33.333333333333329</v>
      </c>
      <c r="K49" s="17">
        <f>J49</f>
        <v>33.333333333333329</v>
      </c>
      <c r="M49" s="146" t="s">
        <v>24</v>
      </c>
      <c r="N49" s="153">
        <v>0</v>
      </c>
    </row>
    <row r="50" spans="1:14" x14ac:dyDescent="0.2">
      <c r="A50" s="11"/>
      <c r="B50" s="12"/>
      <c r="C50" s="12"/>
      <c r="D50" s="12"/>
      <c r="E50" s="135"/>
      <c r="F50" s="24"/>
      <c r="G50" s="14"/>
      <c r="H50" s="14"/>
      <c r="I50" s="14"/>
      <c r="J50" s="14"/>
      <c r="K50" s="17"/>
      <c r="M50" s="144" t="s">
        <v>60</v>
      </c>
      <c r="N50" s="145">
        <v>1300</v>
      </c>
    </row>
    <row r="51" spans="1:14" ht="13.5" thickBot="1" x14ac:dyDescent="0.25">
      <c r="A51" s="132" t="s">
        <v>72</v>
      </c>
      <c r="B51" s="12"/>
      <c r="C51" s="12"/>
      <c r="D51" s="12"/>
      <c r="E51" s="12"/>
      <c r="F51" s="43" t="s">
        <v>73</v>
      </c>
      <c r="G51" s="14"/>
      <c r="H51" s="10">
        <f>H42+H47+H49</f>
        <v>240</v>
      </c>
      <c r="I51" s="14"/>
      <c r="J51" s="14"/>
      <c r="K51" s="19">
        <f>K42+K47+K49</f>
        <v>173.33333333333331</v>
      </c>
      <c r="M51" s="159" t="s">
        <v>74</v>
      </c>
      <c r="N51" s="155">
        <f>N50*N47</f>
        <v>22880.000000000004</v>
      </c>
    </row>
    <row r="52" spans="1:14" ht="13.5" thickTop="1" x14ac:dyDescent="0.2">
      <c r="A52" s="11"/>
      <c r="B52" s="12"/>
      <c r="C52" s="12"/>
      <c r="D52" s="12"/>
      <c r="E52" s="12"/>
      <c r="F52" s="12"/>
      <c r="G52" s="14"/>
      <c r="H52" s="14"/>
      <c r="I52" s="14"/>
      <c r="J52" s="14"/>
      <c r="K52" s="17"/>
      <c r="M52" s="80"/>
      <c r="N52" s="78"/>
    </row>
    <row r="53" spans="1:14" x14ac:dyDescent="0.2">
      <c r="A53" s="16" t="s">
        <v>75</v>
      </c>
      <c r="B53" s="12"/>
      <c r="C53" s="12"/>
      <c r="D53" s="12"/>
      <c r="E53" s="12"/>
      <c r="F53" s="12"/>
      <c r="G53" s="14"/>
      <c r="H53" s="14"/>
      <c r="I53" s="118"/>
      <c r="J53" s="14"/>
      <c r="K53" s="17"/>
      <c r="M53" s="146" t="s">
        <v>76</v>
      </c>
      <c r="N53" s="78"/>
    </row>
    <row r="54" spans="1:14" x14ac:dyDescent="0.2">
      <c r="A54" s="132" t="s">
        <v>77</v>
      </c>
      <c r="B54" s="12"/>
      <c r="C54" s="12"/>
      <c r="D54" s="12"/>
      <c r="E54" s="12"/>
      <c r="F54" s="12"/>
      <c r="G54" s="189"/>
      <c r="H54" s="14"/>
      <c r="I54" s="197"/>
      <c r="J54" s="14">
        <f>IF(I54=0,G54,$F$7/12*G54)</f>
        <v>0</v>
      </c>
      <c r="K54" s="17"/>
      <c r="M54" s="146" t="s">
        <v>78</v>
      </c>
    </row>
    <row r="55" spans="1:14" x14ac:dyDescent="0.2">
      <c r="A55" s="132" t="s">
        <v>79</v>
      </c>
      <c r="B55" s="12"/>
      <c r="C55" s="12"/>
      <c r="D55" s="12"/>
      <c r="E55" s="12"/>
      <c r="F55" s="12"/>
      <c r="G55" s="189"/>
      <c r="H55" s="14"/>
      <c r="I55" s="197"/>
      <c r="J55" s="14">
        <f>IF(I55=0,G55,$F$7/12*G55)</f>
        <v>0</v>
      </c>
      <c r="K55" s="17"/>
      <c r="M55" s="146" t="s">
        <v>69</v>
      </c>
      <c r="N55" s="153">
        <v>14</v>
      </c>
    </row>
    <row r="56" spans="1:14" x14ac:dyDescent="0.2">
      <c r="A56" s="234"/>
      <c r="B56" s="213"/>
      <c r="C56" s="213"/>
      <c r="D56" s="213"/>
      <c r="E56" s="213"/>
      <c r="F56" s="12"/>
      <c r="G56" s="189"/>
      <c r="H56" s="14"/>
      <c r="I56" s="197"/>
      <c r="J56" s="14">
        <f>IF(I56=0,G56,$F$7/12*G56)</f>
        <v>0</v>
      </c>
      <c r="K56" s="17"/>
      <c r="M56" s="146" t="s">
        <v>70</v>
      </c>
      <c r="N56" s="153">
        <v>7</v>
      </c>
    </row>
    <row r="57" spans="1:14" x14ac:dyDescent="0.2">
      <c r="A57" s="234"/>
      <c r="B57" s="213"/>
      <c r="C57" s="213"/>
      <c r="D57" s="213"/>
      <c r="E57" s="213"/>
      <c r="F57" s="41"/>
      <c r="G57" s="189"/>
      <c r="H57" s="14"/>
      <c r="I57" s="197"/>
      <c r="J57" s="32">
        <f>IF(I57=0,G57,$F$7/12*G57)</f>
        <v>0</v>
      </c>
      <c r="K57" s="17"/>
      <c r="M57" s="146" t="s">
        <v>24</v>
      </c>
      <c r="N57" s="153">
        <v>0</v>
      </c>
    </row>
    <row r="58" spans="1:14" ht="13.5" thickBot="1" x14ac:dyDescent="0.25">
      <c r="A58" s="11"/>
      <c r="B58" s="12"/>
      <c r="C58" s="12"/>
      <c r="D58" s="12"/>
      <c r="E58" s="12"/>
      <c r="F58" s="43" t="s">
        <v>80</v>
      </c>
      <c r="G58" s="14"/>
      <c r="H58" s="14"/>
      <c r="I58" s="190"/>
      <c r="J58" s="14"/>
      <c r="K58" s="46">
        <f>SUM(J54:J57)</f>
        <v>0</v>
      </c>
      <c r="M58" s="80" t="s">
        <v>81</v>
      </c>
      <c r="N58" s="78"/>
    </row>
    <row r="59" spans="1:14" ht="13.5" thickTop="1" x14ac:dyDescent="0.2">
      <c r="A59" s="11"/>
      <c r="B59" s="12"/>
      <c r="C59" s="12"/>
      <c r="D59" s="12"/>
      <c r="E59" s="12"/>
      <c r="F59" s="12"/>
      <c r="G59" s="14"/>
      <c r="H59" s="14"/>
      <c r="I59" s="14"/>
      <c r="J59" s="14"/>
      <c r="K59" s="17"/>
      <c r="M59" s="146" t="s">
        <v>69</v>
      </c>
      <c r="N59" s="155">
        <v>1.5</v>
      </c>
    </row>
    <row r="60" spans="1:14" x14ac:dyDescent="0.2">
      <c r="A60" s="11"/>
      <c r="B60" s="12"/>
      <c r="C60" s="12"/>
      <c r="D60" s="12"/>
      <c r="E60" s="12"/>
      <c r="F60" s="12"/>
      <c r="G60" s="14"/>
      <c r="H60" s="14"/>
      <c r="I60" s="14"/>
      <c r="J60" s="14"/>
      <c r="K60" s="17"/>
      <c r="M60" s="146" t="s">
        <v>70</v>
      </c>
      <c r="N60" s="155">
        <v>1.5</v>
      </c>
    </row>
    <row r="61" spans="1:14" ht="15.75" x14ac:dyDescent="0.25">
      <c r="A61" s="25" t="s">
        <v>82</v>
      </c>
      <c r="B61" s="26"/>
      <c r="C61" s="26"/>
      <c r="D61" s="26"/>
      <c r="E61" s="26"/>
      <c r="F61" s="26"/>
      <c r="G61" s="27" t="s">
        <v>83</v>
      </c>
      <c r="H61" s="28">
        <f>H31+H37+H51+H58</f>
        <v>5091</v>
      </c>
      <c r="I61" s="27"/>
      <c r="J61" s="27" t="str">
        <f>"   bij "&amp;F7&amp;"/12e:"</f>
        <v xml:space="preserve">   bij 8/12e:</v>
      </c>
      <c r="K61" s="29">
        <f>K31+K37+K51+K58</f>
        <v>3407.3333333333335</v>
      </c>
      <c r="M61" s="146" t="s">
        <v>24</v>
      </c>
      <c r="N61" s="153">
        <v>0</v>
      </c>
    </row>
    <row r="62" spans="1:14" x14ac:dyDescent="0.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38"/>
      <c r="M62" s="80"/>
      <c r="N62" s="78"/>
    </row>
    <row r="63" spans="1:14" ht="15.75" x14ac:dyDescent="0.25">
      <c r="A63" s="39" t="s">
        <v>84</v>
      </c>
      <c r="B63" s="26"/>
      <c r="C63" s="26"/>
      <c r="D63" s="26"/>
      <c r="E63" s="26"/>
      <c r="F63" s="26"/>
      <c r="G63" s="198" t="str">
        <f>G61</f>
        <v>bij volledig:</v>
      </c>
      <c r="H63" s="28">
        <f>12*H61</f>
        <v>61092</v>
      </c>
      <c r="I63" s="27"/>
      <c r="J63" s="27" t="str">
        <f>J61</f>
        <v xml:space="preserve">   bij 8/12e:</v>
      </c>
      <c r="K63" s="29">
        <f>12*K61</f>
        <v>40888</v>
      </c>
      <c r="M63" s="146" t="s">
        <v>85</v>
      </c>
      <c r="N63" s="78"/>
    </row>
    <row r="64" spans="1:14" x14ac:dyDescent="0.2">
      <c r="A64" s="30"/>
      <c r="B64" s="31"/>
      <c r="C64" s="31"/>
      <c r="D64" s="31"/>
      <c r="E64" s="31"/>
      <c r="F64" s="31"/>
      <c r="G64" s="32"/>
      <c r="H64" s="32"/>
      <c r="I64" s="32"/>
      <c r="J64" s="32"/>
      <c r="K64" s="33"/>
      <c r="M64" s="179" t="s">
        <v>86</v>
      </c>
      <c r="N64" s="142">
        <v>52</v>
      </c>
    </row>
    <row r="65" spans="1:14" x14ac:dyDescent="0.2">
      <c r="A65" s="1" t="s">
        <v>87</v>
      </c>
      <c r="M65" s="179" t="s">
        <v>88</v>
      </c>
      <c r="N65" s="103">
        <f>N64*2</f>
        <v>104</v>
      </c>
    </row>
    <row r="66" spans="1:14" x14ac:dyDescent="0.2">
      <c r="A66" s="34" t="s">
        <v>39</v>
      </c>
      <c r="B66" s="35"/>
      <c r="C66" s="35">
        <f>$N$6</f>
        <v>2021</v>
      </c>
      <c r="D66" s="35"/>
      <c r="E66" s="35"/>
      <c r="F66" s="35"/>
      <c r="G66" s="235" t="s">
        <v>89</v>
      </c>
      <c r="H66" s="232"/>
      <c r="I66" s="36"/>
      <c r="J66" s="232" t="str">
        <f>"bij "&amp;$F$7&amp;"/12e"</f>
        <v>bij 8/12e</v>
      </c>
      <c r="K66" s="233"/>
      <c r="M66" s="179" t="s">
        <v>90</v>
      </c>
      <c r="N66" s="143">
        <v>2</v>
      </c>
    </row>
    <row r="67" spans="1:14" x14ac:dyDescent="0.2">
      <c r="A67" s="49" t="s">
        <v>91</v>
      </c>
      <c r="B67" s="12"/>
      <c r="C67" s="12"/>
      <c r="D67" s="12"/>
      <c r="E67" s="12"/>
      <c r="F67" s="12"/>
      <c r="G67" s="13"/>
      <c r="H67" s="13"/>
      <c r="I67" s="37"/>
      <c r="J67" s="13"/>
      <c r="K67" s="15"/>
      <c r="M67" s="179" t="s">
        <v>92</v>
      </c>
      <c r="N67" s="143">
        <v>2</v>
      </c>
    </row>
    <row r="68" spans="1:14" x14ac:dyDescent="0.2">
      <c r="A68" s="16" t="s">
        <v>93</v>
      </c>
      <c r="B68" s="12"/>
      <c r="C68" s="12"/>
      <c r="D68" s="12"/>
      <c r="E68" s="12"/>
      <c r="F68" s="12"/>
      <c r="G68" s="14"/>
      <c r="H68" s="14"/>
      <c r="I68" s="14"/>
      <c r="J68" s="14"/>
      <c r="K68" s="17"/>
      <c r="M68" s="179" t="s">
        <v>94</v>
      </c>
      <c r="N68" s="143">
        <v>1</v>
      </c>
    </row>
    <row r="69" spans="1:14" x14ac:dyDescent="0.2">
      <c r="A69" s="11" t="s">
        <v>47</v>
      </c>
      <c r="B69" s="12"/>
      <c r="C69" s="12"/>
      <c r="D69" s="12"/>
      <c r="E69" s="12"/>
      <c r="F69" s="12"/>
      <c r="G69" s="14"/>
      <c r="H69" s="47">
        <f>H27</f>
        <v>3796</v>
      </c>
      <c r="I69" s="14"/>
      <c r="J69" s="14"/>
      <c r="K69" s="17">
        <f>$F$7/12*H69</f>
        <v>2530.6666666666665</v>
      </c>
      <c r="M69" s="179" t="s">
        <v>95</v>
      </c>
      <c r="N69" s="143">
        <v>1</v>
      </c>
    </row>
    <row r="70" spans="1:14" x14ac:dyDescent="0.2">
      <c r="A70" s="52" t="s">
        <v>96</v>
      </c>
      <c r="F70" s="56"/>
      <c r="G70" s="8">
        <f>-N36</f>
        <v>-550</v>
      </c>
      <c r="J70" s="14">
        <f>G70/12*F7</f>
        <v>-366.66666666666669</v>
      </c>
      <c r="K70" s="38"/>
      <c r="M70" s="179" t="s">
        <v>97</v>
      </c>
      <c r="N70" s="143">
        <v>1</v>
      </c>
    </row>
    <row r="71" spans="1:14" x14ac:dyDescent="0.2">
      <c r="A71" s="162" t="s">
        <v>98</v>
      </c>
      <c r="G71" s="8">
        <v>0</v>
      </c>
      <c r="J71" s="14">
        <f>G71/12*F8</f>
        <v>0</v>
      </c>
      <c r="K71" s="38"/>
      <c r="M71" s="179" t="s">
        <v>99</v>
      </c>
      <c r="N71" s="143">
        <v>2</v>
      </c>
    </row>
    <row r="72" spans="1:14" x14ac:dyDescent="0.2">
      <c r="A72" s="11"/>
      <c r="H72" s="32">
        <f>SUM(G70:G71)</f>
        <v>-550</v>
      </c>
      <c r="K72" s="33">
        <f>SUM(J70:J71)</f>
        <v>-366.66666666666669</v>
      </c>
      <c r="M72" s="179" t="s">
        <v>100</v>
      </c>
      <c r="N72" s="143">
        <v>2</v>
      </c>
    </row>
    <row r="73" spans="1:14" x14ac:dyDescent="0.2">
      <c r="A73" s="11" t="s">
        <v>101</v>
      </c>
      <c r="H73" s="8">
        <f>H69+H72</f>
        <v>3246</v>
      </c>
      <c r="K73" s="17">
        <f>K69+K72</f>
        <v>2164</v>
      </c>
      <c r="M73" s="179" t="s">
        <v>102</v>
      </c>
      <c r="N73" s="143">
        <v>1</v>
      </c>
    </row>
    <row r="74" spans="1:14" x14ac:dyDescent="0.2">
      <c r="A74" s="11"/>
      <c r="K74" s="38"/>
      <c r="M74" s="180" t="s">
        <v>103</v>
      </c>
      <c r="N74" s="181">
        <f>SUM(N65:N73)</f>
        <v>116</v>
      </c>
    </row>
    <row r="75" spans="1:14" x14ac:dyDescent="0.2">
      <c r="A75" s="16" t="s">
        <v>46</v>
      </c>
      <c r="K75" s="38"/>
      <c r="M75" s="77" t="s">
        <v>104</v>
      </c>
      <c r="N75" s="82">
        <f>N74-2*(N79+N80)</f>
        <v>84</v>
      </c>
    </row>
    <row r="76" spans="1:14" x14ac:dyDescent="0.2">
      <c r="A76" s="11" t="str">
        <f>IF($F$8=1,"Ambtswoning beschikbaar; geen vergoeding aan predikant","Vergoeding wegens gemis ambtswoning volgens tabel 3")</f>
        <v>Ambtswoning beschikbaar; geen vergoeding aan predikant</v>
      </c>
      <c r="G76" s="8">
        <f>H34</f>
        <v>0</v>
      </c>
      <c r="J76" s="8">
        <f>K34</f>
        <v>0</v>
      </c>
      <c r="K76" s="17"/>
      <c r="M76" s="86"/>
      <c r="N76" s="82"/>
    </row>
    <row r="77" spans="1:14" x14ac:dyDescent="0.2">
      <c r="A77" s="132" t="str">
        <f>A36</f>
        <v>Tegemoetkoming ziektekostenvoorziening</v>
      </c>
      <c r="G77" s="32">
        <f>H36</f>
        <v>542</v>
      </c>
      <c r="J77" s="32">
        <f>K36</f>
        <v>361.33333333333331</v>
      </c>
      <c r="K77" s="17"/>
      <c r="M77" s="159" t="s">
        <v>105</v>
      </c>
      <c r="N77" s="158"/>
    </row>
    <row r="78" spans="1:14" x14ac:dyDescent="0.2">
      <c r="A78" s="11" t="str">
        <f>A37</f>
        <v>Totaal emolumenten</v>
      </c>
      <c r="H78" s="8">
        <f>G76+G77</f>
        <v>542</v>
      </c>
      <c r="K78" s="17">
        <f>J76+J77</f>
        <v>361.33333333333331</v>
      </c>
      <c r="M78" s="159" t="s">
        <v>106</v>
      </c>
      <c r="N78" s="158"/>
    </row>
    <row r="79" spans="1:14" x14ac:dyDescent="0.2">
      <c r="A79" s="11"/>
      <c r="K79" s="38"/>
      <c r="M79" s="86" t="s">
        <v>107</v>
      </c>
      <c r="N79" s="88">
        <v>10</v>
      </c>
    </row>
    <row r="80" spans="1:14" x14ac:dyDescent="0.2">
      <c r="A80" s="132" t="s">
        <v>72</v>
      </c>
      <c r="H80" s="8">
        <f>H51</f>
        <v>240</v>
      </c>
      <c r="K80" s="17">
        <f>K51</f>
        <v>173.33333333333331</v>
      </c>
      <c r="M80" s="199" t="s">
        <v>108</v>
      </c>
      <c r="N80" s="88">
        <f>IF(I17&lt;N81,6,7)</f>
        <v>6</v>
      </c>
    </row>
    <row r="81" spans="1:14" x14ac:dyDescent="0.2">
      <c r="A81" s="11"/>
      <c r="K81" s="38"/>
      <c r="M81" s="130" t="s">
        <v>109</v>
      </c>
      <c r="N81" s="131">
        <v>50</v>
      </c>
    </row>
    <row r="82" spans="1:14" x14ac:dyDescent="0.2">
      <c r="A82" s="11" t="s">
        <v>110</v>
      </c>
      <c r="H82" s="32">
        <f>H58</f>
        <v>0</v>
      </c>
      <c r="K82" s="33">
        <f>K58</f>
        <v>0</v>
      </c>
      <c r="M82" s="80"/>
      <c r="N82" s="78"/>
    </row>
    <row r="83" spans="1:14" x14ac:dyDescent="0.2">
      <c r="A83" s="11"/>
      <c r="K83" s="38"/>
      <c r="M83" s="146" t="s">
        <v>111</v>
      </c>
      <c r="N83" s="154">
        <v>105</v>
      </c>
    </row>
    <row r="84" spans="1:14" x14ac:dyDescent="0.2">
      <c r="A84" s="49" t="s">
        <v>112</v>
      </c>
      <c r="H84" s="50">
        <f>H73+H78+H80+H82</f>
        <v>4028</v>
      </c>
      <c r="K84" s="53">
        <f>K73+K78+K80+K82</f>
        <v>2698.666666666667</v>
      </c>
      <c r="M84" s="194" t="s">
        <v>113</v>
      </c>
      <c r="N84" s="154">
        <v>0.3</v>
      </c>
    </row>
    <row r="85" spans="1:14" x14ac:dyDescent="0.2">
      <c r="A85" s="11"/>
      <c r="K85" s="38"/>
      <c r="M85" s="87"/>
      <c r="N85" s="88"/>
    </row>
    <row r="86" spans="1:14" x14ac:dyDescent="0.2">
      <c r="A86" s="49" t="s">
        <v>114</v>
      </c>
      <c r="K86" s="38"/>
      <c r="M86" s="146" t="s">
        <v>115</v>
      </c>
      <c r="N86" s="88"/>
    </row>
    <row r="87" spans="1:14" x14ac:dyDescent="0.2">
      <c r="A87" s="16" t="s">
        <v>116</v>
      </c>
      <c r="K87" s="38"/>
      <c r="M87" s="108" t="s">
        <v>117</v>
      </c>
      <c r="N87">
        <f>IF(F8=1,0,IF(F9=0,1,2))</f>
        <v>0</v>
      </c>
    </row>
    <row r="88" spans="1:14" x14ac:dyDescent="0.2">
      <c r="A88" s="11" t="s">
        <v>118</v>
      </c>
      <c r="C88" s="140">
        <f>F19</f>
        <v>9</v>
      </c>
      <c r="D88" t="s">
        <v>119</v>
      </c>
      <c r="E88" s="40">
        <v>84</v>
      </c>
      <c r="G88" s="1"/>
      <c r="H88" s="50">
        <f>C88*E88</f>
        <v>756</v>
      </c>
      <c r="K88" s="53">
        <f>$F$7/12*C88*E88</f>
        <v>504</v>
      </c>
      <c r="M88" s="87" t="s">
        <v>120</v>
      </c>
      <c r="N88" s="153">
        <v>1000</v>
      </c>
    </row>
    <row r="89" spans="1:14" x14ac:dyDescent="0.2">
      <c r="A89" s="11"/>
      <c r="K89" s="38"/>
      <c r="M89" s="120"/>
      <c r="N89" s="121"/>
    </row>
    <row r="90" spans="1:14" x14ac:dyDescent="0.2">
      <c r="A90" s="132" t="s">
        <v>121</v>
      </c>
      <c r="H90" s="51">
        <f>H84+H88</f>
        <v>4784</v>
      </c>
      <c r="K90" s="54">
        <f>K84+K88</f>
        <v>3202.666666666667</v>
      </c>
      <c r="M90" s="120"/>
      <c r="N90" s="121"/>
    </row>
    <row r="91" spans="1:14" x14ac:dyDescent="0.2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55"/>
      <c r="M91" s="120"/>
      <c r="N91" s="121"/>
    </row>
    <row r="92" spans="1:14" x14ac:dyDescent="0.2">
      <c r="M92" s="122"/>
      <c r="N92" s="123"/>
    </row>
    <row r="94" spans="1:14" x14ac:dyDescent="0.2">
      <c r="A94" s="58" t="s">
        <v>122</v>
      </c>
      <c r="B94" s="59"/>
      <c r="C94" s="59"/>
      <c r="D94" s="59"/>
      <c r="E94" s="59"/>
      <c r="F94" s="59"/>
      <c r="G94" s="59"/>
      <c r="H94" s="59"/>
      <c r="I94" s="59"/>
      <c r="J94" s="60"/>
    </row>
    <row r="95" spans="1:14" x14ac:dyDescent="0.2">
      <c r="C95" s="12"/>
      <c r="D95" s="12"/>
      <c r="E95" s="12"/>
      <c r="F95" s="12"/>
      <c r="G95" s="12"/>
      <c r="H95" s="12"/>
      <c r="I95" s="12"/>
      <c r="J95" s="38"/>
    </row>
    <row r="96" spans="1:14" x14ac:dyDescent="0.2">
      <c r="A96" s="223" t="str">
        <f>"Totaal kosten predikant per jaar ("&amp;$N$6&amp;")"</f>
        <v>Totaal kosten predikant per jaar (2021)</v>
      </c>
      <c r="B96" s="224"/>
      <c r="C96" s="224"/>
      <c r="D96" s="224"/>
      <c r="E96" s="224"/>
      <c r="F96" s="12"/>
      <c r="G96" s="12"/>
      <c r="H96" s="12"/>
      <c r="I96" s="12"/>
      <c r="J96" s="17">
        <f>K63</f>
        <v>40888</v>
      </c>
    </row>
    <row r="97" spans="1:10" x14ac:dyDescent="0.2">
      <c r="A97" s="11"/>
      <c r="B97" s="205" t="str">
        <f>"Aantal diensten in "&amp;$N$6&amp;":"</f>
        <v>Aantal diensten in 2021:</v>
      </c>
      <c r="C97" s="205"/>
      <c r="D97" s="12"/>
      <c r="E97" s="12"/>
      <c r="F97" s="12">
        <f>N74</f>
        <v>116</v>
      </c>
      <c r="G97" s="12"/>
      <c r="H97" s="12"/>
      <c r="I97" s="12"/>
      <c r="J97" s="17"/>
    </row>
    <row r="98" spans="1:10" x14ac:dyDescent="0.2">
      <c r="A98" s="11"/>
      <c r="B98" s="205" t="str">
        <f>"af: Aantal preekbeurten eigen predikant: "</f>
        <v xml:space="preserve">af: Aantal preekbeurten eigen predikant: </v>
      </c>
      <c r="C98" s="205"/>
      <c r="D98" s="205"/>
      <c r="E98" s="12"/>
      <c r="F98" s="171">
        <f>F21</f>
        <v>56</v>
      </c>
      <c r="G98" s="12"/>
      <c r="H98" s="12"/>
      <c r="I98" s="12"/>
      <c r="J98" s="17"/>
    </row>
    <row r="99" spans="1:10" x14ac:dyDescent="0.2">
      <c r="A99" s="223" t="s">
        <v>123</v>
      </c>
      <c r="B99" s="224"/>
      <c r="C99" s="224"/>
      <c r="D99" s="224"/>
      <c r="E99" s="224"/>
      <c r="F99" s="12">
        <f>F97-F98</f>
        <v>60</v>
      </c>
      <c r="G99" s="63" t="s">
        <v>124</v>
      </c>
      <c r="H99" s="61">
        <f>N83</f>
        <v>105</v>
      </c>
      <c r="I99" s="12"/>
      <c r="J99" s="17">
        <f>F99*H99</f>
        <v>6300</v>
      </c>
    </row>
    <row r="100" spans="1:10" x14ac:dyDescent="0.2">
      <c r="A100" s="132" t="s">
        <v>125</v>
      </c>
      <c r="B100" s="12"/>
      <c r="C100" s="12"/>
      <c r="D100" s="12"/>
      <c r="E100" s="12"/>
      <c r="F100" s="62">
        <v>0</v>
      </c>
      <c r="G100" s="160" t="s">
        <v>126</v>
      </c>
      <c r="H100" s="195">
        <f>N84</f>
        <v>0.3</v>
      </c>
      <c r="I100" s="63" t="s">
        <v>127</v>
      </c>
      <c r="J100" s="17">
        <f>F100*H100</f>
        <v>0</v>
      </c>
    </row>
    <row r="101" spans="1:10" x14ac:dyDescent="0.2">
      <c r="A101" s="212" t="s">
        <v>128</v>
      </c>
      <c r="B101" s="213"/>
      <c r="C101" s="213"/>
      <c r="D101" s="213"/>
      <c r="E101" s="213"/>
      <c r="F101" s="205"/>
      <c r="G101" s="205"/>
      <c r="H101" s="12"/>
      <c r="I101" s="12"/>
      <c r="J101" s="68"/>
    </row>
    <row r="102" spans="1:10" x14ac:dyDescent="0.2">
      <c r="A102" s="214" t="s">
        <v>128</v>
      </c>
      <c r="B102" s="215"/>
      <c r="C102" s="215"/>
      <c r="D102" s="215"/>
      <c r="E102" s="215"/>
      <c r="F102" s="205"/>
      <c r="G102" s="205"/>
      <c r="H102" s="12"/>
      <c r="I102" s="12"/>
      <c r="J102" s="68"/>
    </row>
    <row r="103" spans="1:10" x14ac:dyDescent="0.2">
      <c r="A103" s="125"/>
      <c r="B103" s="126"/>
      <c r="C103" s="126"/>
      <c r="D103" s="126"/>
      <c r="E103" s="126"/>
      <c r="F103" s="127"/>
      <c r="G103" s="127"/>
      <c r="H103" s="128"/>
      <c r="I103" s="128"/>
      <c r="J103" s="129"/>
    </row>
    <row r="104" spans="1:10" x14ac:dyDescent="0.2">
      <c r="A104" s="125" t="s">
        <v>129</v>
      </c>
      <c r="B104" s="126"/>
      <c r="C104" s="126"/>
      <c r="D104" s="126"/>
      <c r="E104" s="126"/>
      <c r="F104" s="127"/>
      <c r="G104" s="127"/>
      <c r="H104" s="128"/>
      <c r="I104" s="128"/>
      <c r="J104" s="129">
        <f>SUM(J99:J102)</f>
        <v>6300</v>
      </c>
    </row>
    <row r="105" spans="1:10" x14ac:dyDescent="0.2">
      <c r="A105" s="11"/>
      <c r="B105" s="12"/>
      <c r="C105" s="12"/>
      <c r="D105" s="12"/>
      <c r="E105" s="12"/>
      <c r="F105" s="12"/>
      <c r="G105" s="12"/>
      <c r="H105" s="12"/>
      <c r="I105" s="12"/>
      <c r="J105" s="38"/>
    </row>
    <row r="106" spans="1:10" x14ac:dyDescent="0.2">
      <c r="A106" s="64" t="s">
        <v>130</v>
      </c>
      <c r="B106" s="31"/>
      <c r="C106" s="31"/>
      <c r="D106" s="31"/>
      <c r="E106" s="65">
        <f>$N$6</f>
        <v>2021</v>
      </c>
      <c r="F106" s="31"/>
      <c r="G106" s="31"/>
      <c r="H106" s="31"/>
      <c r="I106" s="31"/>
      <c r="J106" s="66">
        <f>SUM(J96:J102)</f>
        <v>47188</v>
      </c>
    </row>
    <row r="109" spans="1:10" x14ac:dyDescent="0.2">
      <c r="A109" s="58" t="s">
        <v>131</v>
      </c>
      <c r="B109" s="59"/>
      <c r="C109" s="59"/>
      <c r="D109" s="59"/>
      <c r="E109" s="59"/>
      <c r="F109" s="59"/>
      <c r="G109" s="59"/>
      <c r="H109" s="59"/>
      <c r="I109" s="59"/>
      <c r="J109" s="60"/>
    </row>
    <row r="110" spans="1:10" x14ac:dyDescent="0.2">
      <c r="A110" s="11"/>
      <c r="B110" s="12"/>
      <c r="C110" s="12"/>
      <c r="D110" s="12"/>
      <c r="E110" s="12"/>
      <c r="F110" s="12"/>
      <c r="G110" s="12"/>
      <c r="H110" s="12"/>
      <c r="I110" s="12"/>
      <c r="J110" s="38"/>
    </row>
    <row r="111" spans="1:10" x14ac:dyDescent="0.2">
      <c r="A111" s="11" t="s">
        <v>132</v>
      </c>
      <c r="B111" s="12"/>
      <c r="C111" s="12"/>
      <c r="D111" s="12"/>
      <c r="E111" s="12"/>
      <c r="F111" s="160" t="s">
        <v>133</v>
      </c>
      <c r="G111" s="12"/>
      <c r="H111" s="63" t="s">
        <v>134</v>
      </c>
      <c r="I111" s="216" t="s">
        <v>135</v>
      </c>
      <c r="J111" s="217"/>
    </row>
    <row r="112" spans="1:10" x14ac:dyDescent="0.2">
      <c r="A112" s="11"/>
      <c r="B112" s="12"/>
      <c r="C112" s="12"/>
      <c r="D112" s="12"/>
      <c r="E112" s="12"/>
      <c r="F112" s="12"/>
      <c r="G112" s="12"/>
      <c r="H112" s="12"/>
      <c r="I112" s="11"/>
      <c r="J112" s="38"/>
    </row>
    <row r="113" spans="1:12" x14ac:dyDescent="0.2">
      <c r="A113" s="132" t="s">
        <v>136</v>
      </c>
      <c r="B113" s="12"/>
      <c r="C113" s="12"/>
      <c r="D113" s="12"/>
      <c r="E113" s="12"/>
      <c r="G113" s="12"/>
      <c r="I113" s="11"/>
      <c r="J113" s="38"/>
    </row>
    <row r="114" spans="1:12" x14ac:dyDescent="0.2">
      <c r="A114" s="11"/>
      <c r="B114" s="12" t="str">
        <f>$F$11&amp;" belijdende leden en "&amp;$F$12&amp;" doopleden "</f>
        <v xml:space="preserve">106 belijdende leden en 129 doopleden </v>
      </c>
      <c r="C114" s="12"/>
      <c r="D114" s="12"/>
      <c r="E114" s="12"/>
      <c r="F114" s="160" t="s">
        <v>137</v>
      </c>
      <c r="G114" s="12"/>
      <c r="H114" s="14">
        <f>IF(F14&lt;N50,F11*N47+F12*N48,N51)</f>
        <v>4136</v>
      </c>
      <c r="I114" s="11" t="str">
        <f>IF(H114&gt;=N51,"Maximum"," ")</f>
        <v xml:space="preserve"> </v>
      </c>
      <c r="J114" s="17">
        <f>H114</f>
        <v>4136</v>
      </c>
      <c r="L114" s="196"/>
    </row>
    <row r="115" spans="1:12" x14ac:dyDescent="0.2">
      <c r="A115" s="11"/>
      <c r="B115" s="12"/>
      <c r="C115" s="12"/>
      <c r="D115" s="12"/>
      <c r="E115" s="12"/>
      <c r="F115" s="63"/>
      <c r="G115" s="12"/>
      <c r="H115" s="14"/>
      <c r="I115" s="11"/>
      <c r="J115" s="17"/>
    </row>
    <row r="116" spans="1:12" x14ac:dyDescent="0.2">
      <c r="A116" s="132" t="s">
        <v>138</v>
      </c>
      <c r="B116" s="12"/>
      <c r="C116" s="12"/>
      <c r="D116" s="12"/>
      <c r="E116" s="12"/>
      <c r="F116" s="12"/>
      <c r="G116" s="12"/>
      <c r="H116" s="12"/>
      <c r="I116" s="11"/>
      <c r="J116" s="38"/>
    </row>
    <row r="117" spans="1:12" x14ac:dyDescent="0.2">
      <c r="A117" s="11"/>
      <c r="B117" s="12" t="str">
        <f>$F$11&amp;" belijdende leden en "&amp;$F$12&amp;" doopleden "</f>
        <v xml:space="preserve">106 belijdende leden en 129 doopleden </v>
      </c>
      <c r="C117" s="12"/>
      <c r="D117" s="12"/>
      <c r="E117" s="12"/>
      <c r="F117" s="12"/>
      <c r="G117" s="12"/>
      <c r="H117" s="14">
        <f>IF(I16&lt;N42,F11*N40+F12*N39,N43)</f>
        <v>1621.5</v>
      </c>
      <c r="I117" s="11" t="str">
        <f>IF(H117&gt;=N43,"Maximum"," ")</f>
        <v xml:space="preserve"> </v>
      </c>
      <c r="J117" s="38"/>
    </row>
    <row r="118" spans="1:12" x14ac:dyDescent="0.2">
      <c r="A118" s="11"/>
      <c r="B118" s="12" t="s">
        <v>139</v>
      </c>
      <c r="C118" s="12"/>
      <c r="D118" s="12"/>
      <c r="E118" s="12"/>
      <c r="F118" s="12"/>
      <c r="G118" s="12"/>
      <c r="H118" s="32">
        <f>-J70*12</f>
        <v>4400</v>
      </c>
      <c r="I118" s="11"/>
      <c r="J118" s="38"/>
    </row>
    <row r="119" spans="1:12" x14ac:dyDescent="0.2">
      <c r="A119" s="11"/>
      <c r="B119" s="136"/>
      <c r="C119" s="12"/>
      <c r="D119" s="12"/>
      <c r="E119" s="12"/>
      <c r="F119" s="160" t="s">
        <v>140</v>
      </c>
      <c r="G119" s="12"/>
      <c r="H119" s="14">
        <f>SUM(H117:H118)</f>
        <v>6021.5</v>
      </c>
      <c r="I119" s="11"/>
      <c r="J119" s="17">
        <f>H117</f>
        <v>1621.5</v>
      </c>
    </row>
    <row r="120" spans="1:12" x14ac:dyDescent="0.2">
      <c r="A120" s="11"/>
      <c r="B120" s="12"/>
      <c r="C120" s="12"/>
      <c r="D120" s="12"/>
      <c r="E120" s="12"/>
      <c r="F120" s="12"/>
      <c r="G120" s="12"/>
      <c r="H120" s="12"/>
      <c r="I120" s="11"/>
      <c r="J120" s="38"/>
    </row>
    <row r="121" spans="1:12" x14ac:dyDescent="0.2">
      <c r="A121" s="132" t="s">
        <v>141</v>
      </c>
      <c r="B121" s="12"/>
      <c r="C121" s="12"/>
      <c r="D121" s="12"/>
      <c r="E121" s="12"/>
      <c r="F121" s="12"/>
      <c r="G121" s="12"/>
      <c r="H121" s="12"/>
      <c r="I121" s="11"/>
      <c r="J121" s="38"/>
    </row>
    <row r="122" spans="1:12" x14ac:dyDescent="0.2">
      <c r="A122" s="11"/>
      <c r="B122" s="12" t="str">
        <f>$F$11&amp;" belijdende leden en "&amp;$F$12&amp;" doopleden "</f>
        <v xml:space="preserve">106 belijdende leden en 129 doopleden </v>
      </c>
      <c r="C122" s="12"/>
      <c r="D122" s="12"/>
      <c r="E122" s="12"/>
      <c r="G122" s="12"/>
      <c r="H122" s="14">
        <f>F11*N55+F12*N56</f>
        <v>2387</v>
      </c>
      <c r="I122" s="72"/>
      <c r="J122" s="67"/>
    </row>
    <row r="123" spans="1:12" x14ac:dyDescent="0.2">
      <c r="A123" s="11"/>
      <c r="B123" s="12" t="s">
        <v>142</v>
      </c>
      <c r="C123" s="12"/>
      <c r="D123" s="12"/>
      <c r="E123" s="12"/>
      <c r="F123" s="12"/>
      <c r="G123" s="12"/>
      <c r="H123" s="191" t="s">
        <v>143</v>
      </c>
      <c r="I123" s="192"/>
      <c r="J123" s="70"/>
    </row>
    <row r="124" spans="1:12" x14ac:dyDescent="0.2">
      <c r="A124" s="11"/>
      <c r="B124" s="136"/>
      <c r="C124" s="12"/>
      <c r="D124" s="12"/>
      <c r="E124" s="12"/>
      <c r="F124" s="160" t="s">
        <v>144</v>
      </c>
      <c r="G124" s="12"/>
      <c r="H124" s="14">
        <f>H122</f>
        <v>2387</v>
      </c>
      <c r="I124" s="11"/>
      <c r="J124" s="17">
        <f>H124</f>
        <v>2387</v>
      </c>
    </row>
    <row r="125" spans="1:12" x14ac:dyDescent="0.2">
      <c r="A125" s="11"/>
      <c r="B125" s="12"/>
      <c r="C125" s="12"/>
      <c r="D125" s="12"/>
      <c r="E125" s="12"/>
      <c r="F125" s="12"/>
      <c r="G125" s="21"/>
      <c r="H125" s="14"/>
      <c r="I125" s="11"/>
      <c r="J125" s="17"/>
    </row>
    <row r="126" spans="1:12" x14ac:dyDescent="0.2">
      <c r="A126" s="11" t="s">
        <v>145</v>
      </c>
      <c r="B126" s="12"/>
      <c r="C126" s="12"/>
      <c r="D126" s="12"/>
      <c r="E126" s="12"/>
      <c r="F126" s="12"/>
      <c r="G126" s="12"/>
      <c r="H126" s="14"/>
      <c r="I126" s="11"/>
      <c r="J126" s="17"/>
    </row>
    <row r="127" spans="1:12" x14ac:dyDescent="0.2">
      <c r="A127" s="11"/>
      <c r="B127" s="12" t="str">
        <f>$F$11&amp;" belijdende leden en "&amp;$F$12&amp;" doopleden "</f>
        <v xml:space="preserve">106 belijdende leden en 129 doopleden </v>
      </c>
      <c r="C127" s="12"/>
      <c r="D127" s="12"/>
      <c r="E127" s="12"/>
      <c r="F127" s="160" t="s">
        <v>146</v>
      </c>
      <c r="G127" s="119">
        <f>$F$11*N59+$F$12*N60+$F$13*N61</f>
        <v>352.5</v>
      </c>
      <c r="H127" s="14"/>
      <c r="I127" s="11"/>
      <c r="J127" s="17"/>
    </row>
    <row r="128" spans="1:12" x14ac:dyDescent="0.2">
      <c r="A128" s="11"/>
      <c r="B128" s="200" t="s">
        <v>147</v>
      </c>
      <c r="C128" s="12"/>
      <c r="D128" s="12"/>
      <c r="E128" s="12"/>
      <c r="F128" s="63"/>
      <c r="G128" s="14"/>
      <c r="H128" s="14"/>
      <c r="I128" s="11"/>
      <c r="J128" s="17"/>
    </row>
    <row r="129" spans="1:10" x14ac:dyDescent="0.2">
      <c r="A129" s="11"/>
      <c r="B129" s="12"/>
      <c r="C129" s="12"/>
      <c r="D129" s="12"/>
      <c r="E129" s="12"/>
      <c r="F129" s="12"/>
      <c r="G129" s="12"/>
      <c r="H129" s="12"/>
      <c r="I129" s="11"/>
      <c r="J129" s="67"/>
    </row>
    <row r="130" spans="1:10" x14ac:dyDescent="0.2">
      <c r="A130" s="64" t="s">
        <v>148</v>
      </c>
      <c r="B130" s="31"/>
      <c r="C130" s="31"/>
      <c r="D130" s="31"/>
      <c r="E130" s="31"/>
      <c r="F130" s="31"/>
      <c r="G130" s="31"/>
      <c r="H130" s="69">
        <f>H114+H119+H124</f>
        <v>12544.5</v>
      </c>
      <c r="I130" s="30"/>
      <c r="J130" s="66">
        <f>J114+J119+J124</f>
        <v>8144.5</v>
      </c>
    </row>
    <row r="132" spans="1:10" ht="15.75" x14ac:dyDescent="0.25">
      <c r="A132" s="210" t="s">
        <v>149</v>
      </c>
      <c r="B132" s="211"/>
      <c r="C132" s="211"/>
      <c r="D132" s="211"/>
      <c r="E132" s="211"/>
      <c r="F132" s="211"/>
      <c r="G132" s="211"/>
      <c r="H132" s="211"/>
      <c r="I132" s="83"/>
      <c r="J132" s="84">
        <f>J106+J130</f>
        <v>55332.5</v>
      </c>
    </row>
    <row r="133" spans="1:10" x14ac:dyDescent="0.2">
      <c r="A133" s="11"/>
      <c r="B133" s="12"/>
      <c r="C133" s="12"/>
      <c r="D133" s="12"/>
      <c r="E133" s="12"/>
      <c r="F133" s="12"/>
      <c r="G133" s="12"/>
      <c r="H133" s="12"/>
      <c r="I133" s="63" t="s">
        <v>150</v>
      </c>
      <c r="J133" s="90" t="s">
        <v>151</v>
      </c>
    </row>
    <row r="134" spans="1:10" x14ac:dyDescent="0.2">
      <c r="A134" s="11" t="s">
        <v>152</v>
      </c>
      <c r="B134" s="12"/>
      <c r="C134" s="12"/>
      <c r="D134" s="12"/>
      <c r="E134" s="12"/>
      <c r="F134" s="12"/>
      <c r="G134" s="12"/>
      <c r="H134" s="12"/>
      <c r="I134" s="13">
        <f>J132/(F11+F12)</f>
        <v>235.45744680851064</v>
      </c>
      <c r="J134" s="91">
        <f>F11+F12</f>
        <v>235</v>
      </c>
    </row>
    <row r="135" spans="1:10" x14ac:dyDescent="0.2">
      <c r="A135" s="30" t="s">
        <v>153</v>
      </c>
      <c r="B135" s="31"/>
      <c r="C135" s="31"/>
      <c r="D135" s="31"/>
      <c r="E135" s="31"/>
      <c r="F135" s="31"/>
      <c r="G135" s="31"/>
      <c r="H135" s="31"/>
      <c r="I135" s="93">
        <f>J132/(F11+0.5*F12)</f>
        <v>324.53079178885628</v>
      </c>
      <c r="J135" s="92">
        <f>F11+0.5*F12</f>
        <v>170.5</v>
      </c>
    </row>
    <row r="137" spans="1:10" ht="15.75" x14ac:dyDescent="0.25">
      <c r="A137" s="208" t="s">
        <v>154</v>
      </c>
      <c r="B137" s="209"/>
      <c r="C137" s="209"/>
      <c r="D137" s="209"/>
      <c r="E137" s="209"/>
      <c r="F137" s="209"/>
      <c r="G137" s="209"/>
      <c r="H137" s="209"/>
      <c r="I137" s="188"/>
      <c r="J137" s="187"/>
    </row>
    <row r="138" spans="1:10" x14ac:dyDescent="0.2">
      <c r="A138" s="182" t="s">
        <v>155</v>
      </c>
      <c r="B138" s="183"/>
      <c r="C138" s="183"/>
      <c r="D138" s="183"/>
      <c r="E138" s="183"/>
      <c r="F138" s="183"/>
      <c r="G138" s="183"/>
      <c r="H138" s="183"/>
      <c r="I138" s="183"/>
      <c r="J138" s="184"/>
    </row>
    <row r="139" spans="1:10" x14ac:dyDescent="0.2">
      <c r="A139" s="182" t="s">
        <v>156</v>
      </c>
      <c r="B139" s="183"/>
      <c r="C139" s="183"/>
      <c r="D139" s="183"/>
      <c r="E139" s="183"/>
      <c r="F139" s="183"/>
      <c r="G139" s="183"/>
      <c r="H139" s="183"/>
      <c r="I139" s="183"/>
      <c r="J139" s="184"/>
    </row>
    <row r="140" spans="1:10" x14ac:dyDescent="0.2">
      <c r="A140" s="182" t="s">
        <v>157</v>
      </c>
      <c r="B140" s="183"/>
      <c r="C140" s="183"/>
      <c r="D140" s="183"/>
      <c r="E140" s="183"/>
      <c r="F140" s="183"/>
      <c r="G140" s="183"/>
      <c r="H140" s="183"/>
      <c r="I140" s="183"/>
      <c r="J140" s="184"/>
    </row>
    <row r="141" spans="1:10" x14ac:dyDescent="0.2">
      <c r="A141" s="185" t="s">
        <v>158</v>
      </c>
      <c r="B141" s="183"/>
      <c r="C141" s="183"/>
      <c r="D141" s="183"/>
      <c r="E141" s="183"/>
      <c r="F141" s="183"/>
      <c r="G141" s="183"/>
      <c r="H141" s="183"/>
      <c r="I141" s="183"/>
      <c r="J141" s="184"/>
    </row>
    <row r="142" spans="1:10" x14ac:dyDescent="0.2">
      <c r="A142" s="185" t="s">
        <v>159</v>
      </c>
      <c r="B142" s="183"/>
      <c r="C142" s="183"/>
      <c r="D142" s="183"/>
      <c r="E142" s="183"/>
      <c r="F142" s="183"/>
      <c r="G142" s="183"/>
      <c r="H142" s="183"/>
      <c r="I142" s="183"/>
      <c r="J142" s="184"/>
    </row>
    <row r="143" spans="1:10" x14ac:dyDescent="0.2">
      <c r="A143" s="182" t="s">
        <v>160</v>
      </c>
      <c r="B143" s="183"/>
      <c r="C143" s="183"/>
      <c r="D143" s="183"/>
      <c r="E143" s="183"/>
      <c r="F143" s="183"/>
      <c r="G143" s="183"/>
      <c r="H143" s="183"/>
      <c r="I143" s="183"/>
      <c r="J143" s="184"/>
    </row>
    <row r="144" spans="1:10" x14ac:dyDescent="0.2">
      <c r="A144" s="186" t="s">
        <v>161</v>
      </c>
      <c r="B144" s="183"/>
      <c r="C144" s="183"/>
      <c r="D144" s="183"/>
      <c r="E144" s="183"/>
      <c r="F144" s="183"/>
      <c r="G144" s="183"/>
      <c r="H144" s="183"/>
      <c r="I144" s="183"/>
      <c r="J144" s="184"/>
    </row>
    <row r="145" spans="1:10" x14ac:dyDescent="0.2">
      <c r="A145" s="182" t="s">
        <v>162</v>
      </c>
      <c r="B145" s="183"/>
      <c r="C145" s="183"/>
      <c r="D145" s="183"/>
      <c r="E145" s="183"/>
      <c r="F145" s="183"/>
      <c r="G145" s="183"/>
      <c r="H145" s="183"/>
      <c r="I145" s="183"/>
      <c r="J145" s="184"/>
    </row>
    <row r="146" spans="1:10" x14ac:dyDescent="0.2">
      <c r="A146" s="11"/>
      <c r="B146" s="12"/>
      <c r="C146" s="12"/>
      <c r="D146" s="12"/>
      <c r="E146" s="12"/>
      <c r="F146" s="12"/>
      <c r="G146" s="12"/>
      <c r="H146" s="12" t="s">
        <v>163</v>
      </c>
      <c r="I146" s="12"/>
      <c r="J146" s="38" t="s">
        <v>164</v>
      </c>
    </row>
    <row r="147" spans="1:10" x14ac:dyDescent="0.2">
      <c r="A147" s="11"/>
      <c r="B147" s="12"/>
      <c r="C147" s="12"/>
      <c r="D147" s="12"/>
      <c r="E147" s="12"/>
      <c r="F147" s="12"/>
      <c r="G147" s="12"/>
      <c r="H147" s="12"/>
      <c r="I147" s="12"/>
      <c r="J147" s="38"/>
    </row>
    <row r="148" spans="1:10" x14ac:dyDescent="0.2">
      <c r="A148" s="162" t="s">
        <v>47</v>
      </c>
      <c r="B148" s="12"/>
      <c r="C148" s="12"/>
      <c r="D148" s="12"/>
      <c r="E148" s="12"/>
      <c r="F148" s="12"/>
      <c r="G148" s="12"/>
      <c r="H148" s="14">
        <f>K27</f>
        <v>2530.6666666666665</v>
      </c>
      <c r="I148" s="14"/>
      <c r="J148" s="17">
        <f>H148*12</f>
        <v>30368</v>
      </c>
    </row>
    <row r="149" spans="1:10" x14ac:dyDescent="0.2">
      <c r="A149" s="52" t="s">
        <v>165</v>
      </c>
      <c r="B149" s="12"/>
      <c r="C149" s="150"/>
      <c r="D149" s="12"/>
      <c r="E149" s="12"/>
      <c r="F149" s="12"/>
      <c r="G149" s="12"/>
      <c r="H149" s="14">
        <f>K88</f>
        <v>504</v>
      </c>
      <c r="I149" s="14"/>
      <c r="J149" s="17">
        <f>H149*12</f>
        <v>6048</v>
      </c>
    </row>
    <row r="150" spans="1:10" x14ac:dyDescent="0.2">
      <c r="A150" s="52" t="s">
        <v>166</v>
      </c>
      <c r="B150" s="12"/>
      <c r="C150" s="12"/>
      <c r="D150" s="12"/>
      <c r="E150" s="12"/>
      <c r="F150" s="12"/>
      <c r="G150" s="12"/>
      <c r="H150" s="32">
        <f>J70</f>
        <v>-366.66666666666669</v>
      </c>
      <c r="I150" s="14"/>
      <c r="J150" s="17">
        <f>H150*12</f>
        <v>-4400</v>
      </c>
    </row>
    <row r="151" spans="1:10" x14ac:dyDescent="0.2">
      <c r="A151" s="11"/>
      <c r="B151" s="12"/>
      <c r="C151" s="12"/>
      <c r="D151" s="99" t="s">
        <v>167</v>
      </c>
      <c r="E151" s="12"/>
      <c r="F151" s="12"/>
      <c r="G151" s="12"/>
      <c r="H151" s="100">
        <f>H148+H149+H150</f>
        <v>2668</v>
      </c>
      <c r="I151" s="14"/>
      <c r="J151" s="17"/>
    </row>
    <row r="152" spans="1:10" x14ac:dyDescent="0.2">
      <c r="A152" s="132" t="s">
        <v>168</v>
      </c>
      <c r="B152" s="12"/>
      <c r="C152" s="12"/>
      <c r="D152" s="12"/>
      <c r="E152" s="12"/>
      <c r="F152" s="12"/>
      <c r="G152" s="12"/>
      <c r="H152" s="14"/>
      <c r="I152" s="14"/>
      <c r="J152" s="17">
        <f>K29*12</f>
        <v>4104</v>
      </c>
    </row>
    <row r="153" spans="1:10" x14ac:dyDescent="0.2">
      <c r="A153" s="11" t="str">
        <f>IF($F$8=1,"Ambtswoning beschikbaar; geen vergoeding aan predikant","Vergoeding wegens gemis ambtswoning volgens tabel 2")</f>
        <v>Ambtswoning beschikbaar; geen vergoeding aan predikant</v>
      </c>
      <c r="B153" s="12"/>
      <c r="C153" s="12"/>
      <c r="D153" s="12"/>
      <c r="E153" s="12"/>
      <c r="F153" s="12"/>
      <c r="G153" s="12"/>
      <c r="H153" s="14">
        <f>IF($F$8=1,0,IF($N$87=2,$F$9,$N$88))</f>
        <v>0</v>
      </c>
      <c r="I153" s="14"/>
      <c r="J153" s="17">
        <f>H153*12</f>
        <v>0</v>
      </c>
    </row>
    <row r="154" spans="1:10" x14ac:dyDescent="0.2">
      <c r="A154" s="11"/>
      <c r="B154" s="12"/>
      <c r="C154" s="12"/>
      <c r="D154" s="12"/>
      <c r="E154" s="12"/>
      <c r="F154" s="12"/>
      <c r="G154" s="12"/>
      <c r="H154" s="14"/>
      <c r="I154" s="14"/>
      <c r="J154" s="33"/>
    </row>
    <row r="155" spans="1:10" x14ac:dyDescent="0.2">
      <c r="A155" s="11"/>
      <c r="D155" s="99" t="s">
        <v>169</v>
      </c>
      <c r="E155" s="12"/>
      <c r="F155" s="12"/>
      <c r="G155" s="12"/>
      <c r="H155" s="14"/>
      <c r="I155" s="14"/>
      <c r="J155" s="101">
        <f>SUM(J148:J153)</f>
        <v>36120</v>
      </c>
    </row>
    <row r="156" spans="1:10" x14ac:dyDescent="0.2">
      <c r="A156" s="11"/>
      <c r="J156" s="17"/>
    </row>
    <row r="157" spans="1:10" x14ac:dyDescent="0.2">
      <c r="A157" s="11" t="s">
        <v>170</v>
      </c>
      <c r="B157" s="12"/>
      <c r="C157" s="12"/>
      <c r="D157" s="12"/>
      <c r="E157" s="12"/>
      <c r="F157" s="12"/>
      <c r="G157" s="12"/>
      <c r="H157" s="14">
        <f>J77</f>
        <v>361.33333333333331</v>
      </c>
      <c r="I157" s="14"/>
      <c r="J157" s="33">
        <f>H157*12</f>
        <v>4336</v>
      </c>
    </row>
    <row r="158" spans="1:10" x14ac:dyDescent="0.2">
      <c r="A158" s="11"/>
      <c r="B158" s="12"/>
      <c r="C158" s="12"/>
      <c r="D158" s="12"/>
      <c r="E158" s="12"/>
      <c r="F158" s="12"/>
      <c r="G158" s="12"/>
      <c r="H158" s="14"/>
      <c r="I158" s="14"/>
      <c r="J158" s="17"/>
    </row>
    <row r="159" spans="1:10" x14ac:dyDescent="0.2">
      <c r="A159" s="49" t="s">
        <v>171</v>
      </c>
      <c r="B159" s="12"/>
      <c r="C159" s="12"/>
      <c r="D159" s="12"/>
      <c r="E159" s="12"/>
      <c r="F159" s="12"/>
      <c r="G159" s="12"/>
      <c r="H159" s="14"/>
      <c r="I159" s="14"/>
      <c r="J159" s="53">
        <f>J155+J157</f>
        <v>40456</v>
      </c>
    </row>
    <row r="160" spans="1:10" x14ac:dyDescent="0.2">
      <c r="A160" s="49"/>
      <c r="B160" s="12"/>
      <c r="C160" s="12"/>
      <c r="D160" s="12"/>
      <c r="E160" s="12"/>
      <c r="F160" s="12"/>
      <c r="G160" s="12"/>
      <c r="H160" s="14"/>
      <c r="I160" s="14"/>
      <c r="J160" s="17"/>
    </row>
    <row r="161" spans="1:10" x14ac:dyDescent="0.2">
      <c r="A161" s="49" t="s">
        <v>172</v>
      </c>
      <c r="B161" s="12"/>
      <c r="C161" s="12"/>
      <c r="D161" s="12"/>
      <c r="E161" s="12"/>
      <c r="F161" s="12"/>
      <c r="G161" s="12"/>
      <c r="H161" s="14"/>
      <c r="I161" s="14"/>
      <c r="J161" s="17"/>
    </row>
    <row r="162" spans="1:10" x14ac:dyDescent="0.2">
      <c r="A162" s="49"/>
      <c r="B162" s="12"/>
      <c r="C162" s="12"/>
      <c r="D162" s="12"/>
      <c r="E162" s="12"/>
      <c r="F162" s="12"/>
      <c r="G162" s="12"/>
      <c r="H162" s="14"/>
      <c r="I162" s="14"/>
      <c r="J162" s="17"/>
    </row>
    <row r="163" spans="1:10" x14ac:dyDescent="0.2">
      <c r="A163" s="49"/>
      <c r="B163" s="12" t="s">
        <v>173</v>
      </c>
      <c r="C163" s="12"/>
      <c r="D163" s="12"/>
      <c r="E163" s="12"/>
      <c r="F163" s="12"/>
      <c r="G163" s="12"/>
      <c r="H163" s="14">
        <f>K42</f>
        <v>0</v>
      </c>
      <c r="I163" s="14"/>
      <c r="J163" s="17">
        <f t="shared" ref="J163:J169" si="0">H163*12</f>
        <v>0</v>
      </c>
    </row>
    <row r="164" spans="1:10" x14ac:dyDescent="0.2">
      <c r="A164" s="49"/>
      <c r="B164" s="12" t="s">
        <v>174</v>
      </c>
      <c r="C164" s="12"/>
      <c r="D164" s="12"/>
      <c r="E164" s="12"/>
      <c r="F164" s="12"/>
      <c r="G164" s="12"/>
      <c r="H164" s="14">
        <f>K47</f>
        <v>140</v>
      </c>
      <c r="I164" s="14"/>
      <c r="J164" s="17">
        <f t="shared" si="0"/>
        <v>1680</v>
      </c>
    </row>
    <row r="165" spans="1:10" x14ac:dyDescent="0.2">
      <c r="A165" s="11"/>
      <c r="B165" s="136" t="s">
        <v>175</v>
      </c>
      <c r="C165" s="12"/>
      <c r="D165" s="12"/>
      <c r="E165" s="12"/>
      <c r="F165" s="12"/>
      <c r="G165" s="12"/>
      <c r="H165" s="14">
        <f>K49</f>
        <v>33.333333333333329</v>
      </c>
      <c r="I165" s="14"/>
      <c r="J165" s="17">
        <f t="shared" si="0"/>
        <v>399.99999999999994</v>
      </c>
    </row>
    <row r="166" spans="1:10" x14ac:dyDescent="0.2">
      <c r="A166" s="11"/>
      <c r="B166" s="12" t="s">
        <v>176</v>
      </c>
      <c r="C166" s="12"/>
      <c r="D166" s="12"/>
      <c r="E166" s="12"/>
      <c r="F166" s="12"/>
      <c r="G166" s="12"/>
      <c r="H166" s="14">
        <f>+J54</f>
        <v>0</v>
      </c>
      <c r="I166" s="14"/>
      <c r="J166" s="17">
        <f t="shared" si="0"/>
        <v>0</v>
      </c>
    </row>
    <row r="167" spans="1:10" x14ac:dyDescent="0.2">
      <c r="A167" s="11"/>
      <c r="B167" s="12" t="s">
        <v>176</v>
      </c>
      <c r="C167" s="12"/>
      <c r="D167" s="12"/>
      <c r="E167" s="12"/>
      <c r="F167" s="12"/>
      <c r="G167" s="12"/>
      <c r="H167" s="14">
        <f>+J55</f>
        <v>0</v>
      </c>
      <c r="I167" s="14"/>
      <c r="J167" s="17">
        <f t="shared" si="0"/>
        <v>0</v>
      </c>
    </row>
    <row r="168" spans="1:10" x14ac:dyDescent="0.2">
      <c r="A168" s="11"/>
      <c r="B168" s="12">
        <f>A56</f>
        <v>0</v>
      </c>
      <c r="C168" s="12"/>
      <c r="D168" s="12"/>
      <c r="E168" s="12"/>
      <c r="F168" s="12"/>
      <c r="G168" s="12"/>
      <c r="H168" s="14">
        <f>+J56</f>
        <v>0</v>
      </c>
      <c r="I168" s="14"/>
      <c r="J168" s="17">
        <f t="shared" si="0"/>
        <v>0</v>
      </c>
    </row>
    <row r="169" spans="1:10" x14ac:dyDescent="0.2">
      <c r="A169" s="11"/>
      <c r="B169" s="12">
        <f>A57</f>
        <v>0</v>
      </c>
      <c r="C169" s="12"/>
      <c r="D169" s="12"/>
      <c r="E169" s="12"/>
      <c r="F169" s="12"/>
      <c r="G169" s="12"/>
      <c r="H169" s="14">
        <f>+J57</f>
        <v>0</v>
      </c>
      <c r="I169" s="14"/>
      <c r="J169" s="33">
        <f t="shared" si="0"/>
        <v>0</v>
      </c>
    </row>
    <row r="170" spans="1:10" x14ac:dyDescent="0.2">
      <c r="A170" s="11"/>
      <c r="B170" s="12"/>
      <c r="C170" s="12"/>
      <c r="D170" s="99" t="s">
        <v>177</v>
      </c>
      <c r="E170" s="12"/>
      <c r="F170" s="12"/>
      <c r="G170" s="12"/>
      <c r="H170" s="14"/>
      <c r="I170" s="14"/>
      <c r="J170" s="101">
        <f>SUM(J163:J169)</f>
        <v>2080</v>
      </c>
    </row>
    <row r="171" spans="1:10" x14ac:dyDescent="0.2">
      <c r="A171" s="11"/>
      <c r="J171" s="17"/>
    </row>
    <row r="172" spans="1:10" x14ac:dyDescent="0.2">
      <c r="A172" s="11"/>
      <c r="B172" s="12"/>
      <c r="C172" s="12"/>
      <c r="D172" s="12"/>
      <c r="E172" s="12"/>
      <c r="F172" s="12"/>
      <c r="G172" s="12"/>
      <c r="H172" s="14"/>
      <c r="I172" s="14"/>
      <c r="J172" s="17"/>
    </row>
    <row r="173" spans="1:10" ht="15.75" x14ac:dyDescent="0.25">
      <c r="A173" s="64" t="s">
        <v>178</v>
      </c>
      <c r="B173" s="31"/>
      <c r="C173" s="31"/>
      <c r="D173" s="31"/>
      <c r="E173" s="31"/>
      <c r="F173" s="31"/>
      <c r="G173" s="31"/>
      <c r="H173" s="32"/>
      <c r="I173" s="32"/>
      <c r="J173" s="102">
        <f>J159+J170</f>
        <v>42536</v>
      </c>
    </row>
  </sheetData>
  <mergeCells count="20">
    <mergeCell ref="M2:N2"/>
    <mergeCell ref="M3:N3"/>
    <mergeCell ref="M4:N4"/>
    <mergeCell ref="A99:E99"/>
    <mergeCell ref="I1:K1"/>
    <mergeCell ref="J3:K3"/>
    <mergeCell ref="F5:K5"/>
    <mergeCell ref="F6:G6"/>
    <mergeCell ref="G24:H24"/>
    <mergeCell ref="J24:K24"/>
    <mergeCell ref="A56:E56"/>
    <mergeCell ref="A57:E57"/>
    <mergeCell ref="G66:H66"/>
    <mergeCell ref="J66:K66"/>
    <mergeCell ref="A96:E96"/>
    <mergeCell ref="A137:H137"/>
    <mergeCell ref="A132:H132"/>
    <mergeCell ref="A101:E101"/>
    <mergeCell ref="A102:E102"/>
    <mergeCell ref="I111:J111"/>
  </mergeCells>
  <phoneticPr fontId="3" type="noConversion"/>
  <dataValidations count="5">
    <dataValidation type="whole" allowBlank="1" showInputMessage="1" showErrorMessage="1" errorTitle="Foute invoer Ja-Nee vraag" error="Voer een 0 (nul) in als het &quot;Nee&quot; is;_x000a_Voer een 1 (een) in als het &quot;Ja&quot; is." sqref="F8" xr:uid="{00000000-0002-0000-0000-000000000000}">
      <formula1>0</formula1>
      <formula2>1</formula2>
    </dataValidation>
    <dataValidation type="whole" allowBlank="1" showInputMessage="1" showErrorMessage="1" errorTitle="Foute invoer Ja-Nee vraag" error="Voer een 0 in als het &quot;Nee&quot; is;_x000a_Voer een 1 in als het &quot;Ja&quot; is." sqref="F18" xr:uid="{00000000-0002-0000-0000-000001000000}">
      <formula1>0</formula1>
      <formula2>1</formula2>
    </dataValidation>
    <dataValidation type="whole" allowBlank="1" showInputMessage="1" showErrorMessage="1" errorTitle="Onjuiste invoer" error="*FOUT*_x000a_Invoeren: nee = 0_x000a_                 ja    = 1" sqref="I54:I57" xr:uid="{00000000-0002-0000-0000-000002000000}">
      <formula1>0</formula1>
      <formula2>1</formula2>
    </dataValidation>
    <dataValidation type="whole" allowBlank="1" showInputMessage="1" showErrorMessage="1" errorTitle="Foute invoer bedrag-vraag" error="Voer een 0 (nul) in bij standaardvergoeding;_x000a_Voer bedrag in bij afwijkende vergoeding. Vergoeding mag niet groter zijn dan maximum bedrag volgens Gen.Regeling." promptTitle="0 of bedrag" prompt="Alleen invullen wanneer GEEN ambtswoning beschikbaar is._x000a__x000a_Voer hier een 0 (nul) in wanneer het maximum bedrag volgens de Generale Regeling moet worden toegepast. _x000a_Voer een bedrag in hele € in, wanneer een lager bedrag van toepassing is." sqref="F9" xr:uid="{00000000-0002-0000-0000-000003000000}">
      <formula1>0</formula1>
      <formula2>N88</formula2>
    </dataValidation>
    <dataValidation type="whole" allowBlank="1" showInputMessage="1" showErrorMessage="1" errorTitle="Fout Aantal Periodieken" error="Vul een geheel getal in. Minimaal 0, maximaal 15." sqref="F19" xr:uid="{00000000-0002-0000-0000-000004000000}">
      <formula1>0</formula1>
      <formula2>15</formula2>
    </dataValidation>
  </dataValidations>
  <pageMargins left="0.75" right="0.75" top="1" bottom="1" header="0.5" footer="0.5"/>
  <pageSetup paperSize="9" scale="71" orientation="portrait" r:id="rId1"/>
  <headerFooter alignWithMargins="0"/>
  <rowBreaks count="2" manualBreakCount="2">
    <brk id="63" max="10" man="1"/>
    <brk id="1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B16" sqref="B16"/>
    </sheetView>
  </sheetViews>
  <sheetFormatPr defaultRowHeight="12.75" x14ac:dyDescent="0.2"/>
  <cols>
    <col min="1" max="1" width="25.7109375" customWidth="1"/>
    <col min="2" max="2" width="12.140625" customWidth="1"/>
  </cols>
  <sheetData>
    <row r="1" spans="1:7" x14ac:dyDescent="0.2">
      <c r="A1" t="s">
        <v>179</v>
      </c>
    </row>
    <row r="2" spans="1:7" x14ac:dyDescent="0.2">
      <c r="C2" s="116" t="s">
        <v>180</v>
      </c>
    </row>
    <row r="3" spans="1:7" x14ac:dyDescent="0.2">
      <c r="A3" t="s">
        <v>181</v>
      </c>
      <c r="B3" s="8">
        <f>Blad3!J148</f>
        <v>30368</v>
      </c>
      <c r="C3" s="115">
        <v>2974.67</v>
      </c>
      <c r="E3" s="236" t="s">
        <v>182</v>
      </c>
      <c r="F3" s="236"/>
      <c r="G3" s="236"/>
    </row>
    <row r="4" spans="1:7" x14ac:dyDescent="0.2">
      <c r="A4" t="s">
        <v>183</v>
      </c>
      <c r="B4" s="8">
        <f>Blad3!J149</f>
        <v>6048</v>
      </c>
      <c r="C4" s="111"/>
      <c r="E4" s="236"/>
      <c r="F4" s="236"/>
      <c r="G4" s="236"/>
    </row>
    <row r="5" spans="1:7" x14ac:dyDescent="0.2">
      <c r="C5" s="111"/>
      <c r="E5" s="236"/>
      <c r="F5" s="236"/>
      <c r="G5" s="236"/>
    </row>
    <row r="6" spans="1:7" x14ac:dyDescent="0.2">
      <c r="C6" s="111"/>
    </row>
    <row r="7" spans="1:7" x14ac:dyDescent="0.2">
      <c r="A7" t="s">
        <v>184</v>
      </c>
      <c r="B7" s="8">
        <f>Blad3!J152</f>
        <v>4104</v>
      </c>
      <c r="C7" s="115">
        <v>338.79</v>
      </c>
    </row>
    <row r="9" spans="1:7" ht="15.75" x14ac:dyDescent="0.25">
      <c r="A9" t="s">
        <v>185</v>
      </c>
      <c r="B9" s="113">
        <f>SUM(B3:B7)</f>
        <v>40520</v>
      </c>
      <c r="C9" t="s">
        <v>186</v>
      </c>
    </row>
    <row r="11" spans="1:7" x14ac:dyDescent="0.2">
      <c r="A11" t="s">
        <v>187</v>
      </c>
      <c r="B11" s="110">
        <f>Blad1!F17</f>
        <v>29221</v>
      </c>
    </row>
    <row r="12" spans="1:7" x14ac:dyDescent="0.2">
      <c r="A12" t="s">
        <v>188</v>
      </c>
      <c r="B12">
        <f>Blad1!F8</f>
        <v>1</v>
      </c>
      <c r="C12" s="114">
        <v>1</v>
      </c>
    </row>
    <row r="13" spans="1:7" x14ac:dyDescent="0.2">
      <c r="A13" t="s">
        <v>189</v>
      </c>
      <c r="B13" s="2">
        <f>Blad1!F18</f>
        <v>12</v>
      </c>
      <c r="C13" s="115">
        <v>12</v>
      </c>
    </row>
    <row r="14" spans="1:7" x14ac:dyDescent="0.2">
      <c r="A14" t="s">
        <v>190</v>
      </c>
      <c r="B14">
        <f>Blad1!F7</f>
        <v>12</v>
      </c>
      <c r="C14" s="115">
        <v>12</v>
      </c>
    </row>
    <row r="15" spans="1:7" x14ac:dyDescent="0.2">
      <c r="C15" s="112" t="s">
        <v>191</v>
      </c>
    </row>
  </sheetData>
  <mergeCells count="1">
    <mergeCell ref="E3:G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7"/>
  <sheetViews>
    <sheetView topLeftCell="A31" zoomScaleNormal="100" workbookViewId="0">
      <selection activeCell="H152" sqref="H152"/>
    </sheetView>
  </sheetViews>
  <sheetFormatPr defaultRowHeight="12.75" x14ac:dyDescent="0.2"/>
  <cols>
    <col min="3" max="3" width="9.28515625" bestFit="1" customWidth="1"/>
    <col min="4" max="4" width="10.85546875" bestFit="1" customWidth="1"/>
    <col min="5" max="5" width="9.28515625" bestFit="1" customWidth="1"/>
    <col min="6" max="6" width="10.5703125" bestFit="1" customWidth="1"/>
    <col min="7" max="7" width="9.85546875" bestFit="1" customWidth="1"/>
    <col min="8" max="8" width="11.5703125" bestFit="1" customWidth="1"/>
    <col min="9" max="9" width="9.28515625" bestFit="1" customWidth="1"/>
    <col min="10" max="10" width="12.28515625" bestFit="1" customWidth="1"/>
    <col min="11" max="11" width="11.5703125" bestFit="1" customWidth="1"/>
    <col min="13" max="13" width="18.5703125" bestFit="1" customWidth="1"/>
    <col min="14" max="14" width="9.7109375" bestFit="1" customWidth="1"/>
  </cols>
  <sheetData>
    <row r="1" spans="1:14" ht="15.75" x14ac:dyDescent="0.25">
      <c r="A1" s="5" t="s">
        <v>192</v>
      </c>
      <c r="H1" s="109" t="s">
        <v>193</v>
      </c>
      <c r="I1" s="225" t="s">
        <v>1</v>
      </c>
      <c r="J1" s="226"/>
      <c r="K1" s="226"/>
    </row>
    <row r="2" spans="1:14" x14ac:dyDescent="0.2">
      <c r="I2" s="105"/>
      <c r="J2" s="227" t="s">
        <v>194</v>
      </c>
      <c r="K2" s="228"/>
      <c r="M2" s="75" t="s">
        <v>195</v>
      </c>
      <c r="N2" s="76"/>
    </row>
    <row r="3" spans="1:14" x14ac:dyDescent="0.2">
      <c r="A3" s="1" t="s">
        <v>196</v>
      </c>
      <c r="F3" s="1" t="s">
        <v>197</v>
      </c>
      <c r="M3" s="77" t="s">
        <v>198</v>
      </c>
      <c r="N3" s="78"/>
    </row>
    <row r="4" spans="1:14" x14ac:dyDescent="0.2">
      <c r="A4" s="105" t="s">
        <v>199</v>
      </c>
      <c r="F4" s="3">
        <v>0</v>
      </c>
      <c r="G4" t="str">
        <f>IF(F4=0,"   nee, t.b.v. predikantsplaats","   ja, t.b.v. bijstand in pastoraat")</f>
        <v xml:space="preserve">   nee, t.b.v. predikantsplaats</v>
      </c>
      <c r="M4" s="77" t="s">
        <v>200</v>
      </c>
      <c r="N4" s="78"/>
    </row>
    <row r="5" spans="1:14" x14ac:dyDescent="0.2">
      <c r="A5" t="s">
        <v>201</v>
      </c>
      <c r="F5" s="230" t="s">
        <v>202</v>
      </c>
      <c r="G5" s="230"/>
      <c r="H5" s="230"/>
      <c r="I5" s="230"/>
      <c r="J5" s="230"/>
      <c r="K5" s="230"/>
      <c r="M5" s="77"/>
      <c r="N5" s="78"/>
    </row>
    <row r="6" spans="1:14" x14ac:dyDescent="0.2">
      <c r="A6" t="s">
        <v>203</v>
      </c>
      <c r="F6" s="230" t="s">
        <v>204</v>
      </c>
      <c r="G6" s="230"/>
      <c r="M6" s="79" t="s">
        <v>205</v>
      </c>
      <c r="N6" s="141">
        <v>2018</v>
      </c>
    </row>
    <row r="7" spans="1:14" x14ac:dyDescent="0.2">
      <c r="A7" t="s">
        <v>206</v>
      </c>
      <c r="F7" s="3">
        <v>12</v>
      </c>
      <c r="M7" s="80" t="s">
        <v>207</v>
      </c>
      <c r="N7" s="78"/>
    </row>
    <row r="8" spans="1:14" x14ac:dyDescent="0.2">
      <c r="A8" t="s">
        <v>208</v>
      </c>
      <c r="F8" s="3">
        <v>1</v>
      </c>
      <c r="G8" t="str">
        <f>" Groep: "&amp;CHOOSE(F8," I"," II"," III"," IV")</f>
        <v xml:space="preserve"> Groep:  I</v>
      </c>
      <c r="M8" s="80" t="s">
        <v>209</v>
      </c>
      <c r="N8" s="81">
        <v>387</v>
      </c>
    </row>
    <row r="9" spans="1:14" x14ac:dyDescent="0.2">
      <c r="A9" t="s">
        <v>210</v>
      </c>
      <c r="F9" s="3">
        <v>1</v>
      </c>
      <c r="G9" t="str">
        <f>IF(F9=0,"  nee","  ja")</f>
        <v xml:space="preserve">  ja</v>
      </c>
      <c r="M9" s="80" t="s">
        <v>211</v>
      </c>
      <c r="N9" s="81">
        <v>155</v>
      </c>
    </row>
    <row r="10" spans="1:14" x14ac:dyDescent="0.2">
      <c r="A10" t="s">
        <v>212</v>
      </c>
      <c r="F10" s="3">
        <v>0</v>
      </c>
      <c r="G10" t="str">
        <f>IF(F9=1,"   n.v.t.",IF(F10=0,"  maximumbedrag vlg Generale Regeling",IF(F10&lt;0.25*$N$59,"  * LET OP! * Bedrag is onwaarschijnlijk laag","  Afwijkend maximumbedrag")))</f>
        <v xml:space="preserve">   n.v.t.</v>
      </c>
      <c r="J10" s="105"/>
      <c r="M10" s="80" t="s">
        <v>213</v>
      </c>
      <c r="N10" s="81">
        <v>0</v>
      </c>
    </row>
    <row r="11" spans="1:14" x14ac:dyDescent="0.2">
      <c r="A11" t="s">
        <v>214</v>
      </c>
      <c r="F11" s="3">
        <v>0</v>
      </c>
      <c r="G11" t="str">
        <f>IF(F11=0,"  nee","  ja")</f>
        <v xml:space="preserve">  nee</v>
      </c>
      <c r="M11" s="80" t="s">
        <v>215</v>
      </c>
      <c r="N11" s="81">
        <v>0</v>
      </c>
    </row>
    <row r="12" spans="1:14" x14ac:dyDescent="0.2">
      <c r="M12" s="80" t="s">
        <v>216</v>
      </c>
      <c r="N12" s="78">
        <v>0</v>
      </c>
    </row>
    <row r="13" spans="1:14" x14ac:dyDescent="0.2">
      <c r="A13" t="s">
        <v>20</v>
      </c>
      <c r="C13" s="45">
        <v>350</v>
      </c>
      <c r="D13" t="s">
        <v>56</v>
      </c>
      <c r="E13" s="45">
        <v>250</v>
      </c>
      <c r="F13" t="s">
        <v>57</v>
      </c>
      <c r="G13" s="45">
        <v>3</v>
      </c>
      <c r="H13" t="s">
        <v>58</v>
      </c>
      <c r="I13" s="71">
        <f>C13+E13+G13</f>
        <v>603</v>
      </c>
      <c r="J13" t="s">
        <v>217</v>
      </c>
      <c r="M13" s="80" t="s">
        <v>218</v>
      </c>
      <c r="N13" s="78">
        <v>0</v>
      </c>
    </row>
    <row r="14" spans="1:14" x14ac:dyDescent="0.2">
      <c r="A14" t="s">
        <v>219</v>
      </c>
      <c r="C14" s="44">
        <f>IF($I$13=0,0,C13/$I$13)</f>
        <v>0.58043117744610284</v>
      </c>
      <c r="E14" s="44">
        <f>IF($I$13=0,0,E13/$I$13)</f>
        <v>0.41459369817578773</v>
      </c>
      <c r="G14" s="44">
        <f>IF($I$13=0,0,G13/$I$13)</f>
        <v>4.9751243781094526E-3</v>
      </c>
      <c r="M14" s="80"/>
      <c r="N14" s="78"/>
    </row>
    <row r="15" spans="1:14" x14ac:dyDescent="0.2">
      <c r="M15" s="77" t="s">
        <v>220</v>
      </c>
      <c r="N15" s="78">
        <v>15</v>
      </c>
    </row>
    <row r="16" spans="1:14" x14ac:dyDescent="0.2">
      <c r="A16" s="1" t="s">
        <v>221</v>
      </c>
      <c r="M16" s="77" t="s">
        <v>222</v>
      </c>
      <c r="N16" s="81">
        <v>82</v>
      </c>
    </row>
    <row r="17" spans="1:14" x14ac:dyDescent="0.2">
      <c r="A17" t="s">
        <v>223</v>
      </c>
      <c r="F17" s="7">
        <v>29221</v>
      </c>
      <c r="H17" s="6" t="s">
        <v>224</v>
      </c>
      <c r="I17">
        <f>YEAR(F17)</f>
        <v>1980</v>
      </c>
      <c r="J17" s="6" t="s">
        <v>225</v>
      </c>
      <c r="K17">
        <f>C27-I17</f>
        <v>38</v>
      </c>
      <c r="M17" s="80"/>
      <c r="N17" s="78"/>
    </row>
    <row r="18" spans="1:14" x14ac:dyDescent="0.2">
      <c r="A18" t="s">
        <v>226</v>
      </c>
      <c r="F18" s="4">
        <v>12</v>
      </c>
      <c r="G18" s="41" t="str">
        <f>IF(F18&gt;N15,"*ONJUISTE INVOER* (maximum aantal periodieken is "&amp;N15&amp;").","")</f>
        <v/>
      </c>
      <c r="H18" s="41"/>
      <c r="I18" s="41"/>
      <c r="J18" s="41"/>
      <c r="M18" s="201" t="s">
        <v>227</v>
      </c>
      <c r="N18" s="89" t="s">
        <v>228</v>
      </c>
    </row>
    <row r="19" spans="1:14" x14ac:dyDescent="0.2">
      <c r="A19" t="s">
        <v>229</v>
      </c>
      <c r="E19" t="s">
        <v>230</v>
      </c>
      <c r="F19" s="4">
        <v>12</v>
      </c>
      <c r="G19" s="41" t="s">
        <v>35</v>
      </c>
      <c r="H19" s="41"/>
      <c r="I19" s="41"/>
      <c r="J19" s="41"/>
      <c r="M19" s="202"/>
      <c r="N19" s="61"/>
    </row>
    <row r="20" spans="1:14" x14ac:dyDescent="0.2">
      <c r="A20" t="s">
        <v>231</v>
      </c>
      <c r="D20" s="41"/>
      <c r="E20" s="41"/>
      <c r="F20" s="48">
        <v>479</v>
      </c>
      <c r="G20" s="41"/>
      <c r="H20" s="41"/>
      <c r="M20" s="80"/>
      <c r="N20" s="78"/>
    </row>
    <row r="21" spans="1:14" x14ac:dyDescent="0.2">
      <c r="A21" t="s">
        <v>232</v>
      </c>
      <c r="F21" s="3">
        <v>1</v>
      </c>
      <c r="G21" t="str">
        <f>IF(F21=0,"   ongehuwd","   gehuwd")</f>
        <v xml:space="preserve">   gehuwd</v>
      </c>
      <c r="K21" s="124">
        <f>J159</f>
        <v>54288</v>
      </c>
      <c r="M21" s="80" t="s">
        <v>233</v>
      </c>
      <c r="N21" s="78"/>
    </row>
    <row r="22" spans="1:14" x14ac:dyDescent="0.2">
      <c r="B22" s="106" t="s">
        <v>234</v>
      </c>
      <c r="C22" s="106" t="s">
        <v>235</v>
      </c>
      <c r="D22" s="106"/>
      <c r="E22" s="106"/>
      <c r="F22" s="107">
        <v>0</v>
      </c>
      <c r="K22" s="8"/>
      <c r="M22" s="80" t="s">
        <v>32</v>
      </c>
      <c r="N22" s="82">
        <v>2018</v>
      </c>
    </row>
    <row r="23" spans="1:14" x14ac:dyDescent="0.2">
      <c r="B23" s="106"/>
      <c r="C23" s="106" t="s">
        <v>236</v>
      </c>
      <c r="D23" s="106"/>
      <c r="E23" s="106"/>
      <c r="F23" s="107">
        <v>0</v>
      </c>
      <c r="M23" s="80" t="s">
        <v>237</v>
      </c>
      <c r="N23" s="137">
        <v>3996</v>
      </c>
    </row>
    <row r="24" spans="1:14" x14ac:dyDescent="0.2">
      <c r="B24" t="s">
        <v>238</v>
      </c>
      <c r="F24" s="3">
        <v>0</v>
      </c>
      <c r="G24" t="s">
        <v>239</v>
      </c>
      <c r="M24" s="80" t="s">
        <v>240</v>
      </c>
      <c r="N24" s="137">
        <v>10320</v>
      </c>
    </row>
    <row r="25" spans="1:14" x14ac:dyDescent="0.2">
      <c r="E25" s="74"/>
      <c r="M25" s="80"/>
      <c r="N25" s="138"/>
    </row>
    <row r="26" spans="1:14" x14ac:dyDescent="0.2">
      <c r="A26" s="1" t="s">
        <v>241</v>
      </c>
      <c r="M26" s="80" t="s">
        <v>242</v>
      </c>
      <c r="N26" s="78"/>
    </row>
    <row r="27" spans="1:14" x14ac:dyDescent="0.2">
      <c r="A27" s="34" t="s">
        <v>39</v>
      </c>
      <c r="B27" s="35"/>
      <c r="C27" s="35">
        <f>N6</f>
        <v>2018</v>
      </c>
      <c r="D27" s="35"/>
      <c r="E27" s="35"/>
      <c r="F27" s="35"/>
      <c r="G27" s="232" t="s">
        <v>40</v>
      </c>
      <c r="H27" s="232"/>
      <c r="I27" s="36"/>
      <c r="J27" s="232" t="str">
        <f>"kosten bij "&amp;$F$7&amp;"/12e"</f>
        <v>kosten bij 12/12e</v>
      </c>
      <c r="K27" s="233"/>
      <c r="M27" s="80" t="s">
        <v>243</v>
      </c>
      <c r="N27" s="78"/>
    </row>
    <row r="28" spans="1:14" x14ac:dyDescent="0.2">
      <c r="A28" s="11"/>
      <c r="B28" s="12"/>
      <c r="C28" s="12"/>
      <c r="D28" s="12"/>
      <c r="E28" s="12"/>
      <c r="F28" s="12"/>
      <c r="G28" s="13"/>
      <c r="H28" s="13"/>
      <c r="I28" s="37"/>
      <c r="J28" s="13"/>
      <c r="K28" s="15"/>
      <c r="M28" s="80" t="s">
        <v>56</v>
      </c>
      <c r="N28" s="81">
        <v>14</v>
      </c>
    </row>
    <row r="29" spans="1:14" x14ac:dyDescent="0.2">
      <c r="A29" s="16" t="s">
        <v>93</v>
      </c>
      <c r="B29" s="12"/>
      <c r="C29" s="12"/>
      <c r="D29" s="12"/>
      <c r="E29" s="12"/>
      <c r="F29" s="12"/>
      <c r="G29" s="14"/>
      <c r="H29" s="14"/>
      <c r="I29" s="14"/>
      <c r="J29" s="14"/>
      <c r="K29" s="17"/>
      <c r="M29" s="80" t="s">
        <v>57</v>
      </c>
      <c r="N29" s="81">
        <v>7</v>
      </c>
    </row>
    <row r="30" spans="1:14" x14ac:dyDescent="0.2">
      <c r="A30" s="11" t="str">
        <f>"Aanvangswedde volgens tabel 1 ("&amp;G8&amp;"; geb.jaar: "&amp;I17&amp;")"</f>
        <v>Aanvangswedde volgens tabel 1 ( Groep:  I; geb.jaar: 1980)</v>
      </c>
      <c r="B30" s="12"/>
      <c r="C30" s="12"/>
      <c r="D30" s="12"/>
      <c r="E30" s="12"/>
      <c r="F30" s="12"/>
      <c r="G30" s="14"/>
      <c r="H30" s="18">
        <v>3543</v>
      </c>
      <c r="I30" s="14"/>
      <c r="J30" s="14"/>
      <c r="K30" s="17">
        <f>$F$7/12*H30</f>
        <v>3543</v>
      </c>
      <c r="M30" s="80" t="s">
        <v>58</v>
      </c>
      <c r="N30" s="81">
        <v>0</v>
      </c>
    </row>
    <row r="31" spans="1:14" x14ac:dyDescent="0.2">
      <c r="A31" s="11"/>
      <c r="B31" s="12"/>
      <c r="C31" s="12"/>
      <c r="D31" s="12"/>
      <c r="E31" s="12"/>
      <c r="F31" s="12"/>
      <c r="G31" s="14"/>
      <c r="H31" s="14"/>
      <c r="I31" s="14"/>
      <c r="J31" s="14"/>
      <c r="K31" s="17"/>
      <c r="M31" s="80" t="s">
        <v>81</v>
      </c>
      <c r="N31" s="78"/>
    </row>
    <row r="32" spans="1:14" x14ac:dyDescent="0.2">
      <c r="A32" s="132" t="s">
        <v>244</v>
      </c>
      <c r="B32" s="12"/>
      <c r="C32" s="12"/>
      <c r="D32" s="12"/>
      <c r="E32" s="12"/>
      <c r="F32" s="12"/>
      <c r="G32" s="134"/>
      <c r="H32" s="133">
        <v>476</v>
      </c>
      <c r="I32" s="14"/>
      <c r="K32" s="17">
        <f>$F$7/12*H32</f>
        <v>476</v>
      </c>
      <c r="M32" s="80" t="s">
        <v>56</v>
      </c>
      <c r="N32" s="139">
        <v>1.5</v>
      </c>
    </row>
    <row r="33" spans="1:14" x14ac:dyDescent="0.2">
      <c r="A33" s="11"/>
      <c r="B33" s="12"/>
      <c r="C33" s="12"/>
      <c r="D33" s="12"/>
      <c r="E33" s="12"/>
      <c r="F33" s="12"/>
      <c r="G33" s="47"/>
      <c r="H33" s="14"/>
      <c r="I33" s="14"/>
      <c r="J33" s="14"/>
      <c r="K33" s="17"/>
      <c r="M33" s="80" t="s">
        <v>57</v>
      </c>
      <c r="N33" s="139">
        <v>1.5</v>
      </c>
    </row>
    <row r="34" spans="1:14" x14ac:dyDescent="0.2">
      <c r="A34" s="11"/>
      <c r="B34" s="12"/>
      <c r="C34" s="12"/>
      <c r="D34" s="12"/>
      <c r="E34" s="12"/>
      <c r="F34" s="12"/>
      <c r="G34" s="14"/>
      <c r="I34" s="14"/>
      <c r="J34" s="14"/>
      <c r="K34" s="17">
        <f>K32+J33</f>
        <v>476</v>
      </c>
      <c r="M34" s="80" t="s">
        <v>58</v>
      </c>
      <c r="N34" s="81">
        <v>0</v>
      </c>
    </row>
    <row r="35" spans="1:14" ht="13.5" thickBot="1" x14ac:dyDescent="0.25">
      <c r="A35" s="11" t="s">
        <v>245</v>
      </c>
      <c r="B35" s="12"/>
      <c r="C35" s="12"/>
      <c r="D35" s="12"/>
      <c r="E35" s="12"/>
      <c r="F35" s="43" t="s">
        <v>44</v>
      </c>
      <c r="G35" s="14"/>
      <c r="H35" s="10">
        <f>H30+H32</f>
        <v>4019</v>
      </c>
      <c r="I35" s="14"/>
      <c r="J35" s="14"/>
      <c r="K35" s="19">
        <f>K30+K34</f>
        <v>4019</v>
      </c>
      <c r="M35" s="80"/>
      <c r="N35" s="78"/>
    </row>
    <row r="36" spans="1:14" ht="13.5" thickTop="1" x14ac:dyDescent="0.2">
      <c r="A36" s="11"/>
      <c r="B36" s="12"/>
      <c r="C36" s="12"/>
      <c r="D36" s="12"/>
      <c r="E36" s="12"/>
      <c r="F36" s="12"/>
      <c r="G36" s="14"/>
      <c r="H36" s="14"/>
      <c r="I36" s="14"/>
      <c r="J36" s="14"/>
      <c r="K36" s="17"/>
      <c r="M36" s="80" t="s">
        <v>246</v>
      </c>
      <c r="N36" s="78"/>
    </row>
    <row r="37" spans="1:14" x14ac:dyDescent="0.2">
      <c r="A37" s="16" t="s">
        <v>46</v>
      </c>
      <c r="B37" s="12"/>
      <c r="C37" s="12"/>
      <c r="D37" s="12"/>
      <c r="E37" s="12"/>
      <c r="F37" s="12"/>
      <c r="G37" s="14"/>
      <c r="H37" s="14"/>
      <c r="I37" s="14"/>
      <c r="J37" s="14"/>
      <c r="K37" s="17"/>
      <c r="M37" s="77" t="s">
        <v>247</v>
      </c>
      <c r="N37" s="142">
        <v>52</v>
      </c>
    </row>
    <row r="38" spans="1:14" x14ac:dyDescent="0.2">
      <c r="A38" s="11" t="str">
        <f>IF($F$9=1,"Ambtswoning beschikbaar; geen vergoeding aan predikant","Vergoeding wegens gemis ambtswoning volgens tabel 2")</f>
        <v>Ambtswoning beschikbaar; geen vergoeding aan predikant</v>
      </c>
      <c r="B38" s="12"/>
      <c r="C38" s="12"/>
      <c r="D38" s="12"/>
      <c r="E38" s="12"/>
      <c r="F38" s="12"/>
      <c r="G38" s="14"/>
      <c r="H38" s="14">
        <f>IF($F$9=1,0,IF($N$58=2,$F$10,$N$59))</f>
        <v>0</v>
      </c>
      <c r="I38" s="14"/>
      <c r="J38" s="14"/>
      <c r="K38" s="17">
        <f>$F$7/12*H38</f>
        <v>0</v>
      </c>
      <c r="M38" s="77" t="s">
        <v>248</v>
      </c>
      <c r="N38" s="103">
        <f>N37*2</f>
        <v>104</v>
      </c>
    </row>
    <row r="39" spans="1:14" x14ac:dyDescent="0.2">
      <c r="A39" s="11"/>
      <c r="B39" s="12"/>
      <c r="C39" s="12"/>
      <c r="D39" s="12"/>
      <c r="E39" s="12"/>
      <c r="F39" s="12"/>
      <c r="G39" s="14"/>
      <c r="H39" s="14"/>
      <c r="I39" s="14"/>
      <c r="J39" s="14"/>
      <c r="K39" s="17"/>
      <c r="M39" s="77" t="s">
        <v>90</v>
      </c>
      <c r="N39" s="143">
        <v>2</v>
      </c>
    </row>
    <row r="40" spans="1:14" x14ac:dyDescent="0.2">
      <c r="A40" s="132" t="s">
        <v>249</v>
      </c>
      <c r="B40" s="12"/>
      <c r="C40" s="12"/>
      <c r="D40" s="12"/>
      <c r="E40" s="12" t="str">
        <f>IF(F21=0,"predikant","predikant / echtgen.")</f>
        <v>predikant / echtgen.</v>
      </c>
      <c r="F40" s="12"/>
      <c r="H40" s="14">
        <f>IF(F21=0,N8,N8+N9)</f>
        <v>542</v>
      </c>
      <c r="I40" s="14"/>
      <c r="K40" s="14">
        <f>$F$7/12*H40</f>
        <v>542</v>
      </c>
      <c r="M40" s="77" t="s">
        <v>92</v>
      </c>
      <c r="N40" s="143">
        <v>2</v>
      </c>
    </row>
    <row r="41" spans="1:14" ht="13.5" thickBot="1" x14ac:dyDescent="0.25">
      <c r="A41" s="11" t="s">
        <v>52</v>
      </c>
      <c r="B41" s="12"/>
      <c r="C41" s="12"/>
      <c r="D41" s="12"/>
      <c r="E41" s="12"/>
      <c r="F41" s="43" t="s">
        <v>53</v>
      </c>
      <c r="G41" s="14"/>
      <c r="H41" s="10">
        <f>H38+H40</f>
        <v>542</v>
      </c>
      <c r="I41" s="14"/>
      <c r="J41" s="14"/>
      <c r="K41" s="19">
        <f>K38+K40</f>
        <v>542</v>
      </c>
      <c r="M41" s="77" t="s">
        <v>250</v>
      </c>
      <c r="N41" s="143">
        <v>1</v>
      </c>
    </row>
    <row r="42" spans="1:14" ht="13.5" thickTop="1" x14ac:dyDescent="0.2">
      <c r="A42" s="11"/>
      <c r="B42" s="12"/>
      <c r="C42" s="12"/>
      <c r="D42" s="12"/>
      <c r="E42" s="12"/>
      <c r="F42" s="12"/>
      <c r="G42" s="14"/>
      <c r="H42" s="14"/>
      <c r="I42" s="14"/>
      <c r="J42" s="14"/>
      <c r="K42" s="17"/>
      <c r="M42" s="77" t="s">
        <v>251</v>
      </c>
      <c r="N42" s="143">
        <v>1</v>
      </c>
    </row>
    <row r="43" spans="1:14" x14ac:dyDescent="0.2">
      <c r="A43" s="16" t="s">
        <v>252</v>
      </c>
      <c r="B43" s="12"/>
      <c r="C43" s="12"/>
      <c r="D43" s="12"/>
      <c r="E43" s="12"/>
      <c r="F43" s="12"/>
      <c r="G43" s="14"/>
      <c r="H43" s="14"/>
      <c r="I43" s="14"/>
      <c r="J43" s="14"/>
      <c r="K43" s="17"/>
      <c r="M43" s="77" t="s">
        <v>253</v>
      </c>
      <c r="N43" s="143">
        <v>1</v>
      </c>
    </row>
    <row r="44" spans="1:14" x14ac:dyDescent="0.2">
      <c r="A44" s="11"/>
      <c r="B44" s="12"/>
      <c r="C44" s="12"/>
      <c r="D44" s="12"/>
      <c r="E44" s="12"/>
      <c r="F44" s="12"/>
      <c r="G44" s="14"/>
      <c r="H44" s="14"/>
      <c r="I44" s="14"/>
      <c r="J44" s="14"/>
      <c r="K44" s="17"/>
      <c r="M44" s="77" t="s">
        <v>254</v>
      </c>
      <c r="N44" s="143">
        <v>2</v>
      </c>
    </row>
    <row r="45" spans="1:14" x14ac:dyDescent="0.2">
      <c r="A45" s="11" t="str">
        <f>"Vervoerskosten op declaratiebasis; auto: €"&amp;$N$55&amp;" per kilometer."</f>
        <v>Vervoerskosten op declaratiebasis; auto: €0,3 per kilometer.</v>
      </c>
      <c r="B45" s="12"/>
      <c r="C45" s="12"/>
      <c r="D45" s="12"/>
      <c r="E45" s="12"/>
      <c r="F45" s="12"/>
      <c r="G45" s="14"/>
      <c r="H45" s="14"/>
      <c r="I45" s="14"/>
      <c r="J45" s="14"/>
      <c r="K45" s="17"/>
      <c r="M45" s="77" t="s">
        <v>255</v>
      </c>
      <c r="N45" s="143">
        <v>3</v>
      </c>
    </row>
    <row r="46" spans="1:14" x14ac:dyDescent="0.2">
      <c r="A46" s="11"/>
      <c r="B46" s="12" t="s">
        <v>59</v>
      </c>
      <c r="C46" s="12"/>
      <c r="D46" s="12"/>
      <c r="E46" s="12"/>
      <c r="F46" s="20">
        <v>0</v>
      </c>
      <c r="G46" s="14"/>
      <c r="H46" s="14">
        <f>$F46*$N$55</f>
        <v>0</v>
      </c>
      <c r="I46" s="14"/>
      <c r="J46" s="14"/>
      <c r="K46" s="17">
        <f>$F46*$N$55</f>
        <v>0</v>
      </c>
      <c r="M46" s="77" t="s">
        <v>102</v>
      </c>
      <c r="N46" s="143">
        <v>1</v>
      </c>
    </row>
    <row r="47" spans="1:14" x14ac:dyDescent="0.2">
      <c r="A47" s="11"/>
      <c r="B47" s="12"/>
      <c r="C47" s="12"/>
      <c r="D47" s="12"/>
      <c r="E47" s="12"/>
      <c r="F47" s="12"/>
      <c r="G47" s="14"/>
      <c r="H47" s="14"/>
      <c r="I47" s="14"/>
      <c r="J47" s="14"/>
      <c r="K47" s="17"/>
      <c r="M47" s="80" t="s">
        <v>256</v>
      </c>
      <c r="N47" s="104">
        <f>SUM(N38:N46)</f>
        <v>117</v>
      </c>
    </row>
    <row r="48" spans="1:14" x14ac:dyDescent="0.2">
      <c r="A48" s="11" t="s">
        <v>62</v>
      </c>
      <c r="B48" s="12"/>
      <c r="C48" s="21" t="s">
        <v>63</v>
      </c>
      <c r="D48" s="22">
        <v>1200</v>
      </c>
      <c r="E48" s="12"/>
      <c r="F48" s="12"/>
      <c r="G48" s="14">
        <f>D48/12</f>
        <v>100</v>
      </c>
      <c r="H48" s="14"/>
      <c r="I48" s="14"/>
      <c r="J48" s="14">
        <f>$F$7/12*G48</f>
        <v>100</v>
      </c>
      <c r="K48" s="17"/>
      <c r="M48" s="77" t="s">
        <v>257</v>
      </c>
      <c r="N48" s="82">
        <f>N47-2*(N50+N51)</f>
        <v>85</v>
      </c>
    </row>
    <row r="49" spans="1:14" x14ac:dyDescent="0.2">
      <c r="A49" s="11" t="s">
        <v>65</v>
      </c>
      <c r="B49" s="12"/>
      <c r="C49" s="12"/>
      <c r="D49" s="22">
        <v>480</v>
      </c>
      <c r="E49" s="12" t="s">
        <v>66</v>
      </c>
      <c r="F49" s="12"/>
      <c r="G49" s="14">
        <f>D49/12</f>
        <v>40</v>
      </c>
      <c r="H49" s="14"/>
      <c r="I49" s="14"/>
      <c r="J49" s="14">
        <f>G49</f>
        <v>40</v>
      </c>
      <c r="K49" s="17"/>
      <c r="M49" s="86"/>
      <c r="N49" s="82"/>
    </row>
    <row r="50" spans="1:14" x14ac:dyDescent="0.2">
      <c r="A50" s="11" t="s">
        <v>67</v>
      </c>
      <c r="B50" s="12"/>
      <c r="C50" s="12"/>
      <c r="D50" s="22">
        <v>600</v>
      </c>
      <c r="E50" s="12"/>
      <c r="F50" s="12"/>
      <c r="G50" s="14">
        <f>D50/12</f>
        <v>50</v>
      </c>
      <c r="H50" s="14"/>
      <c r="I50" s="14"/>
      <c r="J50" s="14">
        <f>$F$7/12*G50</f>
        <v>50</v>
      </c>
      <c r="K50" s="17"/>
      <c r="M50" s="86" t="s">
        <v>107</v>
      </c>
      <c r="N50" s="88">
        <v>10</v>
      </c>
    </row>
    <row r="51" spans="1:14" x14ac:dyDescent="0.2">
      <c r="A51" s="11"/>
      <c r="B51" s="12"/>
      <c r="C51" s="12"/>
      <c r="D51" s="22"/>
      <c r="E51" s="12"/>
      <c r="F51" s="12"/>
      <c r="G51" s="9"/>
      <c r="H51" s="14">
        <f>SUM(G48:G50)</f>
        <v>190</v>
      </c>
      <c r="I51" s="14"/>
      <c r="J51" s="9"/>
      <c r="K51" s="17">
        <f>SUM(J48:J50)</f>
        <v>190</v>
      </c>
      <c r="M51" s="199" t="s">
        <v>108</v>
      </c>
      <c r="N51" s="88">
        <f>IF(K17&lt;N52,6,7)</f>
        <v>6</v>
      </c>
    </row>
    <row r="52" spans="1:14" x14ac:dyDescent="0.2">
      <c r="A52" s="132"/>
      <c r="B52" s="12"/>
      <c r="C52" s="12"/>
      <c r="D52" s="12"/>
      <c r="E52" s="12"/>
      <c r="F52" s="12"/>
      <c r="G52" s="14"/>
      <c r="H52" s="14"/>
      <c r="I52" s="14"/>
      <c r="J52" s="14"/>
      <c r="K52" s="17"/>
      <c r="M52" s="130" t="s">
        <v>109</v>
      </c>
      <c r="N52" s="131">
        <v>50</v>
      </c>
    </row>
    <row r="53" spans="1:14" x14ac:dyDescent="0.2">
      <c r="A53" s="132" t="s">
        <v>71</v>
      </c>
      <c r="B53" s="12"/>
      <c r="C53" s="12"/>
      <c r="D53" s="12"/>
      <c r="E53" s="12"/>
      <c r="F53" s="12"/>
      <c r="H53" s="14">
        <v>50</v>
      </c>
      <c r="I53" s="14"/>
      <c r="J53" s="14">
        <f>$F$7/12*H53</f>
        <v>50</v>
      </c>
      <c r="K53" s="17">
        <f>J53</f>
        <v>50</v>
      </c>
      <c r="M53" s="80"/>
      <c r="N53" s="78"/>
    </row>
    <row r="54" spans="1:14" x14ac:dyDescent="0.2">
      <c r="A54" s="11"/>
      <c r="B54" s="12"/>
      <c r="C54" s="12"/>
      <c r="D54" s="12"/>
      <c r="E54" s="135"/>
      <c r="F54" s="24"/>
      <c r="G54" s="14"/>
      <c r="H54" s="14"/>
      <c r="I54" s="14"/>
      <c r="J54" s="14"/>
      <c r="K54" s="17"/>
      <c r="M54" s="80" t="s">
        <v>258</v>
      </c>
      <c r="N54" s="89">
        <v>105</v>
      </c>
    </row>
    <row r="55" spans="1:14" ht="13.5" thickBot="1" x14ac:dyDescent="0.25">
      <c r="A55" s="11" t="s">
        <v>259</v>
      </c>
      <c r="B55" s="12"/>
      <c r="C55" s="12"/>
      <c r="D55" s="12"/>
      <c r="E55" s="12"/>
      <c r="F55" s="43" t="s">
        <v>73</v>
      </c>
      <c r="G55" s="14"/>
      <c r="H55" s="10">
        <f>H46+H51+H53</f>
        <v>240</v>
      </c>
      <c r="I55" s="14"/>
      <c r="J55" s="14"/>
      <c r="K55" s="19">
        <f>K46+K51+K53</f>
        <v>240</v>
      </c>
      <c r="M55" s="87" t="s">
        <v>260</v>
      </c>
      <c r="N55" s="89">
        <v>0.3</v>
      </c>
    </row>
    <row r="56" spans="1:14" ht="13.5" thickTop="1" x14ac:dyDescent="0.2">
      <c r="A56" s="11"/>
      <c r="B56" s="12"/>
      <c r="C56" s="12"/>
      <c r="D56" s="12"/>
      <c r="E56" s="12"/>
      <c r="F56" s="12"/>
      <c r="G56" s="14"/>
      <c r="H56" s="14"/>
      <c r="I56" s="14"/>
      <c r="J56" s="14"/>
      <c r="K56" s="17"/>
      <c r="M56" s="87"/>
      <c r="N56" s="88"/>
    </row>
    <row r="57" spans="1:14" ht="17.25" x14ac:dyDescent="0.2">
      <c r="A57" s="16" t="s">
        <v>75</v>
      </c>
      <c r="B57" s="12"/>
      <c r="C57" s="12"/>
      <c r="D57" s="12"/>
      <c r="E57" s="12"/>
      <c r="F57" s="12"/>
      <c r="G57" s="14"/>
      <c r="H57" s="14"/>
      <c r="I57" s="118" t="s">
        <v>261</v>
      </c>
      <c r="J57" s="14"/>
      <c r="K57" s="17"/>
      <c r="M57" s="80" t="s">
        <v>262</v>
      </c>
      <c r="N57" s="88"/>
    </row>
    <row r="58" spans="1:14" x14ac:dyDescent="0.2">
      <c r="A58" s="11" t="s">
        <v>263</v>
      </c>
      <c r="B58" s="12"/>
      <c r="C58" s="12"/>
      <c r="D58" s="12"/>
      <c r="E58" s="12"/>
      <c r="F58" s="12"/>
      <c r="G58" s="18"/>
      <c r="H58" s="14"/>
      <c r="I58" s="203">
        <v>0</v>
      </c>
      <c r="J58" s="14">
        <f>IF(I58=0,G58,$F$7/12*G58)</f>
        <v>0</v>
      </c>
      <c r="K58" s="17"/>
      <c r="M58" s="108" t="s">
        <v>117</v>
      </c>
      <c r="N58">
        <f>IF(F9=1,0,IF(F10=0,1,2))</f>
        <v>0</v>
      </c>
    </row>
    <row r="59" spans="1:14" x14ac:dyDescent="0.2">
      <c r="A59" s="11" t="s">
        <v>264</v>
      </c>
      <c r="B59" s="12"/>
      <c r="C59" s="12"/>
      <c r="D59" s="12"/>
      <c r="E59" s="12"/>
      <c r="F59" s="12"/>
      <c r="G59" s="18"/>
      <c r="H59" s="14"/>
      <c r="I59" s="203">
        <v>0</v>
      </c>
      <c r="J59" s="14">
        <f>IF(I59=0,G59,$F$7/12*G59)</f>
        <v>0</v>
      </c>
      <c r="K59" s="17"/>
      <c r="M59" s="87" t="s">
        <v>120</v>
      </c>
      <c r="N59" s="81">
        <v>1000</v>
      </c>
    </row>
    <row r="60" spans="1:14" x14ac:dyDescent="0.2">
      <c r="A60" s="234"/>
      <c r="B60" s="213"/>
      <c r="C60" s="213"/>
      <c r="D60" s="213"/>
      <c r="E60" s="213"/>
      <c r="F60" s="12"/>
      <c r="G60" s="18"/>
      <c r="H60" s="14"/>
      <c r="I60" s="203">
        <v>0</v>
      </c>
      <c r="J60" s="14">
        <f>IF(I60=0,G60,$F$7/12*G60)</f>
        <v>0</v>
      </c>
      <c r="K60" s="17"/>
      <c r="M60" s="120"/>
      <c r="N60" s="121"/>
    </row>
    <row r="61" spans="1:14" x14ac:dyDescent="0.2">
      <c r="A61" s="234"/>
      <c r="B61" s="213"/>
      <c r="C61" s="213"/>
      <c r="D61" s="213"/>
      <c r="E61" s="213"/>
      <c r="F61" s="41"/>
      <c r="G61" s="57"/>
      <c r="H61" s="14"/>
      <c r="I61" s="203">
        <v>0</v>
      </c>
      <c r="J61" s="32">
        <f>IF(I61=0,G61,$F$7/12*G61)</f>
        <v>0</v>
      </c>
      <c r="K61" s="17"/>
      <c r="M61" s="120"/>
      <c r="N61" s="121"/>
    </row>
    <row r="62" spans="1:14" ht="13.5" thickBot="1" x14ac:dyDescent="0.25">
      <c r="A62" s="11"/>
      <c r="B62" s="12"/>
      <c r="C62" s="12"/>
      <c r="D62" s="12"/>
      <c r="E62" s="12"/>
      <c r="F62" s="43" t="s">
        <v>80</v>
      </c>
      <c r="G62" s="14"/>
      <c r="H62" s="42">
        <f>SUM(G58:G61)</f>
        <v>0</v>
      </c>
      <c r="I62" s="14"/>
      <c r="J62" s="14"/>
      <c r="K62" s="46">
        <f>SUM(J58:J61)</f>
        <v>0</v>
      </c>
      <c r="M62" s="120"/>
      <c r="N62" s="121"/>
    </row>
    <row r="63" spans="1:14" ht="13.5" thickTop="1" x14ac:dyDescent="0.2">
      <c r="A63" s="11"/>
      <c r="B63" s="12"/>
      <c r="C63" s="12"/>
      <c r="D63" s="12"/>
      <c r="E63" s="12"/>
      <c r="F63" s="12"/>
      <c r="G63" s="14"/>
      <c r="H63" s="14"/>
      <c r="I63" s="14"/>
      <c r="J63" s="14"/>
      <c r="K63" s="17"/>
      <c r="M63" s="122"/>
      <c r="N63" s="123"/>
    </row>
    <row r="64" spans="1:14" x14ac:dyDescent="0.2">
      <c r="A64" s="11"/>
      <c r="B64" s="12"/>
      <c r="C64" s="12"/>
      <c r="D64" s="12"/>
      <c r="E64" s="12"/>
      <c r="F64" s="12"/>
      <c r="G64" s="14"/>
      <c r="H64" s="14"/>
      <c r="I64" s="14"/>
      <c r="J64" s="14"/>
      <c r="K64" s="17"/>
    </row>
    <row r="65" spans="1:11" ht="15.75" x14ac:dyDescent="0.25">
      <c r="A65" s="25" t="s">
        <v>82</v>
      </c>
      <c r="B65" s="26"/>
      <c r="C65" s="26"/>
      <c r="D65" s="26"/>
      <c r="E65" s="26"/>
      <c r="F65" s="26"/>
      <c r="G65" s="27" t="s">
        <v>83</v>
      </c>
      <c r="H65" s="28">
        <f>H35+H41+H55+H62</f>
        <v>4801</v>
      </c>
      <c r="I65" s="27"/>
      <c r="J65" s="27" t="str">
        <f>"   bij "&amp;F7&amp;"/12e:"</f>
        <v xml:space="preserve">   bij 12/12e:</v>
      </c>
      <c r="K65" s="29">
        <f>K35+K41+K55+K62</f>
        <v>4801</v>
      </c>
    </row>
    <row r="66" spans="1:11" x14ac:dyDescent="0.2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38"/>
    </row>
    <row r="67" spans="1:11" ht="15.75" x14ac:dyDescent="0.25">
      <c r="A67" s="39" t="s">
        <v>84</v>
      </c>
      <c r="B67" s="26"/>
      <c r="C67" s="26"/>
      <c r="D67" s="26"/>
      <c r="E67" s="26"/>
      <c r="F67" s="26"/>
      <c r="G67" s="198" t="str">
        <f>G65</f>
        <v>bij volledig:</v>
      </c>
      <c r="H67" s="28">
        <f>12*H65</f>
        <v>57612</v>
      </c>
      <c r="I67" s="27"/>
      <c r="J67" s="27" t="str">
        <f>J65</f>
        <v xml:space="preserve">   bij 12/12e:</v>
      </c>
      <c r="K67" s="29">
        <f>12*K65</f>
        <v>57612</v>
      </c>
    </row>
    <row r="68" spans="1:11" x14ac:dyDescent="0.2">
      <c r="A68" s="30"/>
      <c r="B68" s="31"/>
      <c r="C68" s="31"/>
      <c r="D68" s="31"/>
      <c r="E68" s="31"/>
      <c r="F68" s="31"/>
      <c r="G68" s="32"/>
      <c r="H68" s="32"/>
      <c r="I68" s="32"/>
      <c r="J68" s="32"/>
      <c r="K68" s="33"/>
    </row>
    <row r="69" spans="1:11" x14ac:dyDescent="0.2">
      <c r="A69" s="1" t="s">
        <v>87</v>
      </c>
    </row>
    <row r="70" spans="1:11" x14ac:dyDescent="0.2">
      <c r="A70" s="34" t="s">
        <v>39</v>
      </c>
      <c r="B70" s="35"/>
      <c r="C70" s="35">
        <f>$N$6</f>
        <v>2018</v>
      </c>
      <c r="D70" s="35"/>
      <c r="E70" s="35"/>
      <c r="F70" s="35"/>
      <c r="G70" s="232" t="s">
        <v>265</v>
      </c>
      <c r="H70" s="232"/>
      <c r="I70" s="36"/>
      <c r="J70" s="232" t="str">
        <f>"bij "&amp;$F$7&amp;"/12e"</f>
        <v>bij 12/12e</v>
      </c>
      <c r="K70" s="233"/>
    </row>
    <row r="71" spans="1:11" x14ac:dyDescent="0.2">
      <c r="A71" s="49" t="s">
        <v>91</v>
      </c>
      <c r="B71" s="12"/>
      <c r="C71" s="12"/>
      <c r="D71" s="12"/>
      <c r="E71" s="12"/>
      <c r="F71" s="12"/>
      <c r="G71" s="13"/>
      <c r="H71" s="13"/>
      <c r="I71" s="37"/>
      <c r="J71" s="13"/>
      <c r="K71" s="15"/>
    </row>
    <row r="72" spans="1:11" x14ac:dyDescent="0.2">
      <c r="A72" s="16" t="s">
        <v>93</v>
      </c>
      <c r="B72" s="12"/>
      <c r="C72" s="12"/>
      <c r="D72" s="12"/>
      <c r="E72" s="12"/>
      <c r="F72" s="12"/>
      <c r="G72" s="14"/>
      <c r="H72" s="14"/>
      <c r="I72" s="14"/>
      <c r="J72" s="14"/>
      <c r="K72" s="17"/>
    </row>
    <row r="73" spans="1:11" x14ac:dyDescent="0.2">
      <c r="A73" s="11" t="s">
        <v>47</v>
      </c>
      <c r="B73" s="12"/>
      <c r="C73" s="12"/>
      <c r="D73" s="12"/>
      <c r="E73" s="12"/>
      <c r="F73" s="12"/>
      <c r="G73" s="14"/>
      <c r="H73" s="47">
        <f>H30</f>
        <v>3543</v>
      </c>
      <c r="I73" s="14"/>
      <c r="J73" s="14"/>
      <c r="K73" s="17">
        <f>$F$7/12*H73</f>
        <v>3543</v>
      </c>
    </row>
    <row r="74" spans="1:11" x14ac:dyDescent="0.2">
      <c r="A74" s="52" t="s">
        <v>96</v>
      </c>
      <c r="F74" s="56"/>
      <c r="G74" s="8">
        <f>$F$20*-1</f>
        <v>-479</v>
      </c>
      <c r="J74" s="14">
        <f>IF($F$4=1,0,$F$7/12*$F$20*-1)</f>
        <v>-479</v>
      </c>
      <c r="K74" s="38"/>
    </row>
    <row r="75" spans="1:11" x14ac:dyDescent="0.2">
      <c r="A75" s="52" t="s">
        <v>266</v>
      </c>
      <c r="K75" s="38"/>
    </row>
    <row r="76" spans="1:11" x14ac:dyDescent="0.2">
      <c r="A76" s="52" t="s">
        <v>267</v>
      </c>
      <c r="G76" s="31"/>
      <c r="J76" s="31"/>
      <c r="K76" s="38"/>
    </row>
    <row r="77" spans="1:11" x14ac:dyDescent="0.2">
      <c r="A77" s="11"/>
      <c r="H77" s="32">
        <f>SUM(G74:G76)</f>
        <v>-479</v>
      </c>
      <c r="K77" s="33">
        <f>SUM(J74:J76)</f>
        <v>-479</v>
      </c>
    </row>
    <row r="78" spans="1:11" x14ac:dyDescent="0.2">
      <c r="A78" s="11" t="s">
        <v>101</v>
      </c>
      <c r="H78" s="8">
        <f>H73+H77</f>
        <v>3064</v>
      </c>
      <c r="K78" s="17">
        <f>K73+K77</f>
        <v>3064</v>
      </c>
    </row>
    <row r="79" spans="1:11" x14ac:dyDescent="0.2">
      <c r="A79" s="11"/>
      <c r="K79" s="38"/>
    </row>
    <row r="80" spans="1:11" x14ac:dyDescent="0.2">
      <c r="A80" s="16" t="s">
        <v>46</v>
      </c>
      <c r="K80" s="38"/>
    </row>
    <row r="81" spans="1:11" x14ac:dyDescent="0.2">
      <c r="A81" s="11" t="str">
        <f>IF($F$9=1,"Ambtswoning beschikbaar; geen vergoeding aan predikant","Vergoeding wegens gemis ambtswoning volgens tabel 3")</f>
        <v>Ambtswoning beschikbaar; geen vergoeding aan predikant</v>
      </c>
      <c r="G81" s="8">
        <f>H38</f>
        <v>0</v>
      </c>
      <c r="J81" s="8">
        <f>K38</f>
        <v>0</v>
      </c>
      <c r="K81" s="17"/>
    </row>
    <row r="82" spans="1:11" x14ac:dyDescent="0.2">
      <c r="A82" s="11" t="str">
        <f>A40</f>
        <v>Tegemoetkoming ziektekostenverzekering</v>
      </c>
      <c r="G82" s="32">
        <f>H40</f>
        <v>542</v>
      </c>
      <c r="J82" s="32">
        <f>K40</f>
        <v>542</v>
      </c>
      <c r="K82" s="17"/>
    </row>
    <row r="83" spans="1:11" x14ac:dyDescent="0.2">
      <c r="A83" s="11" t="str">
        <f>A41</f>
        <v>Totaal emolumenten</v>
      </c>
      <c r="H83" s="8">
        <f>G81+G82</f>
        <v>542</v>
      </c>
      <c r="K83" s="17">
        <f>J81+J82</f>
        <v>542</v>
      </c>
    </row>
    <row r="84" spans="1:11" x14ac:dyDescent="0.2">
      <c r="A84" s="11"/>
      <c r="K84" s="38"/>
    </row>
    <row r="85" spans="1:11" x14ac:dyDescent="0.2">
      <c r="A85" s="11" t="s">
        <v>268</v>
      </c>
      <c r="H85" s="8">
        <f>H55</f>
        <v>240</v>
      </c>
      <c r="K85" s="17">
        <f>K55</f>
        <v>240</v>
      </c>
    </row>
    <row r="86" spans="1:11" x14ac:dyDescent="0.2">
      <c r="A86" s="11"/>
      <c r="K86" s="38"/>
    </row>
    <row r="87" spans="1:11" x14ac:dyDescent="0.2">
      <c r="A87" s="11" t="s">
        <v>110</v>
      </c>
      <c r="H87" s="32">
        <f>H62</f>
        <v>0</v>
      </c>
      <c r="K87" s="33">
        <f>K62</f>
        <v>0</v>
      </c>
    </row>
    <row r="88" spans="1:11" x14ac:dyDescent="0.2">
      <c r="A88" s="11"/>
      <c r="K88" s="38"/>
    </row>
    <row r="89" spans="1:11" x14ac:dyDescent="0.2">
      <c r="A89" s="49" t="s">
        <v>112</v>
      </c>
      <c r="H89" s="50">
        <f>H78+H83+H85+H87</f>
        <v>3846</v>
      </c>
      <c r="K89" s="53">
        <f>K78+K83+K85+K87</f>
        <v>3846</v>
      </c>
    </row>
    <row r="90" spans="1:11" x14ac:dyDescent="0.2">
      <c r="A90" s="11"/>
      <c r="K90" s="38"/>
    </row>
    <row r="91" spans="1:11" x14ac:dyDescent="0.2">
      <c r="A91" s="49" t="s">
        <v>114</v>
      </c>
      <c r="K91" s="38"/>
    </row>
    <row r="92" spans="1:11" x14ac:dyDescent="0.2">
      <c r="A92" s="16" t="s">
        <v>116</v>
      </c>
      <c r="K92" s="38"/>
    </row>
    <row r="93" spans="1:11" x14ac:dyDescent="0.2">
      <c r="A93" s="11" t="s">
        <v>118</v>
      </c>
      <c r="C93" s="140">
        <f>F19</f>
        <v>12</v>
      </c>
      <c r="D93" t="s">
        <v>119</v>
      </c>
      <c r="E93" s="40">
        <f>N16</f>
        <v>82</v>
      </c>
      <c r="G93" s="1"/>
      <c r="H93" s="50">
        <f>C93*E93</f>
        <v>984</v>
      </c>
      <c r="K93" s="53">
        <f>$F$7/12*C93*E93</f>
        <v>984</v>
      </c>
    </row>
    <row r="94" spans="1:11" x14ac:dyDescent="0.2">
      <c r="A94" s="11"/>
      <c r="K94" s="38"/>
    </row>
    <row r="95" spans="1:11" x14ac:dyDescent="0.2">
      <c r="A95" s="11" t="s">
        <v>269</v>
      </c>
      <c r="H95" s="51">
        <f>H89+H93</f>
        <v>4830</v>
      </c>
      <c r="K95" s="54">
        <f>K89+K93</f>
        <v>4830</v>
      </c>
    </row>
    <row r="96" spans="1:11" x14ac:dyDescent="0.2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55"/>
    </row>
    <row r="99" spans="1:10" x14ac:dyDescent="0.2">
      <c r="A99" s="58" t="s">
        <v>122</v>
      </c>
      <c r="B99" s="59"/>
      <c r="C99" s="59"/>
      <c r="D99" s="59"/>
      <c r="E99" s="59"/>
      <c r="F99" s="59"/>
      <c r="G99" s="59"/>
      <c r="H99" s="59"/>
      <c r="I99" s="59"/>
      <c r="J99" s="60"/>
    </row>
    <row r="100" spans="1:10" x14ac:dyDescent="0.2">
      <c r="C100" s="12"/>
      <c r="D100" s="12"/>
      <c r="E100" s="12"/>
      <c r="F100" s="12"/>
      <c r="G100" s="12"/>
      <c r="H100" s="12"/>
      <c r="I100" s="12"/>
      <c r="J100" s="38"/>
    </row>
    <row r="101" spans="1:10" x14ac:dyDescent="0.2">
      <c r="A101" s="223" t="str">
        <f>"Totaal kosten predikant per jaar ("&amp;$N$6&amp;")"</f>
        <v>Totaal kosten predikant per jaar (2018)</v>
      </c>
      <c r="B101" s="224"/>
      <c r="C101" s="224"/>
      <c r="D101" s="224"/>
      <c r="E101" s="224"/>
      <c r="F101" s="12"/>
      <c r="G101" s="12"/>
      <c r="H101" s="12"/>
      <c r="I101" s="12"/>
      <c r="J101" s="17">
        <f>K67</f>
        <v>57612</v>
      </c>
    </row>
    <row r="102" spans="1:10" x14ac:dyDescent="0.2">
      <c r="A102" s="11"/>
      <c r="B102" s="205" t="str">
        <f>"Aantal diensten in "&amp;$N$6&amp;":"</f>
        <v>Aantal diensten in 2018:</v>
      </c>
      <c r="C102" s="205"/>
      <c r="D102" s="12"/>
      <c r="E102" s="12"/>
      <c r="F102" s="12">
        <f>N47</f>
        <v>117</v>
      </c>
      <c r="G102" s="12"/>
      <c r="H102" s="12"/>
      <c r="I102" s="12"/>
      <c r="J102" s="17"/>
    </row>
    <row r="103" spans="1:10" x14ac:dyDescent="0.2">
      <c r="A103" s="11"/>
      <c r="B103" s="205" t="str">
        <f>"af: Aantal preekbeurten eigen predikant: "</f>
        <v xml:space="preserve">af: Aantal preekbeurten eigen predikant: </v>
      </c>
      <c r="C103" s="205"/>
      <c r="D103" s="205"/>
      <c r="E103" s="12"/>
      <c r="F103" s="31">
        <f>IF(F24=0,ROUND($F$7/12*N48-0.5,0),IF(F24&gt;N47,N47,ROUND($F$7/12*F24-0.5,0)))</f>
        <v>85</v>
      </c>
      <c r="G103" s="12"/>
      <c r="H103" s="12"/>
      <c r="I103" s="12"/>
      <c r="J103" s="17"/>
    </row>
    <row r="104" spans="1:10" x14ac:dyDescent="0.2">
      <c r="A104" s="223" t="s">
        <v>123</v>
      </c>
      <c r="B104" s="224"/>
      <c r="C104" s="224"/>
      <c r="D104" s="224"/>
      <c r="E104" s="224"/>
      <c r="F104" s="12">
        <f>F102-F103</f>
        <v>32</v>
      </c>
      <c r="G104" s="63" t="s">
        <v>124</v>
      </c>
      <c r="H104" s="61">
        <f>N54</f>
        <v>105</v>
      </c>
      <c r="I104" s="12"/>
      <c r="J104" s="17">
        <f>F104*H104</f>
        <v>3360</v>
      </c>
    </row>
    <row r="105" spans="1:10" x14ac:dyDescent="0.2">
      <c r="A105" s="11" t="s">
        <v>270</v>
      </c>
      <c r="B105" s="12"/>
      <c r="C105" s="12"/>
      <c r="D105" s="12"/>
      <c r="E105" s="12"/>
      <c r="F105" s="62"/>
      <c r="G105" s="63" t="s">
        <v>271</v>
      </c>
      <c r="H105" s="23"/>
      <c r="I105" s="63" t="s">
        <v>127</v>
      </c>
      <c r="J105" s="17">
        <f>F105*H105</f>
        <v>0</v>
      </c>
    </row>
    <row r="106" spans="1:10" x14ac:dyDescent="0.2">
      <c r="A106" s="234"/>
      <c r="B106" s="213"/>
      <c r="C106" s="213"/>
      <c r="D106" s="213"/>
      <c r="E106" s="213"/>
      <c r="F106" s="205"/>
      <c r="G106" s="205"/>
      <c r="H106" s="12"/>
      <c r="I106" s="12"/>
      <c r="J106" s="68"/>
    </row>
    <row r="107" spans="1:10" x14ac:dyDescent="0.2">
      <c r="A107" s="239"/>
      <c r="B107" s="215"/>
      <c r="C107" s="215"/>
      <c r="D107" s="215"/>
      <c r="E107" s="215"/>
      <c r="F107" s="205"/>
      <c r="G107" s="205"/>
      <c r="H107" s="12"/>
      <c r="I107" s="12"/>
      <c r="J107" s="68"/>
    </row>
    <row r="108" spans="1:10" x14ac:dyDescent="0.2">
      <c r="A108" s="125"/>
      <c r="B108" s="126"/>
      <c r="C108" s="126"/>
      <c r="D108" s="126"/>
      <c r="E108" s="126"/>
      <c r="F108" s="127"/>
      <c r="G108" s="127"/>
      <c r="H108" s="128"/>
      <c r="I108" s="128"/>
      <c r="J108" s="129"/>
    </row>
    <row r="109" spans="1:10" x14ac:dyDescent="0.2">
      <c r="A109" s="125" t="s">
        <v>129</v>
      </c>
      <c r="B109" s="126"/>
      <c r="C109" s="126"/>
      <c r="D109" s="126"/>
      <c r="E109" s="126"/>
      <c r="F109" s="127"/>
      <c r="G109" s="127"/>
      <c r="H109" s="128"/>
      <c r="I109" s="128"/>
      <c r="J109" s="129">
        <f>SUM(J104:J107)</f>
        <v>3360</v>
      </c>
    </row>
    <row r="110" spans="1:10" x14ac:dyDescent="0.2">
      <c r="A110" s="11"/>
      <c r="B110" s="12"/>
      <c r="C110" s="12"/>
      <c r="D110" s="12"/>
      <c r="E110" s="12"/>
      <c r="F110" s="12"/>
      <c r="G110" s="12"/>
      <c r="H110" s="12"/>
      <c r="I110" s="12"/>
      <c r="J110" s="38"/>
    </row>
    <row r="111" spans="1:10" x14ac:dyDescent="0.2">
      <c r="A111" s="64" t="s">
        <v>130</v>
      </c>
      <c r="B111" s="31"/>
      <c r="C111" s="31"/>
      <c r="D111" s="31"/>
      <c r="E111" s="65">
        <f>$N$6</f>
        <v>2018</v>
      </c>
      <c r="F111" s="31"/>
      <c r="G111" s="31"/>
      <c r="H111" s="31"/>
      <c r="I111" s="31"/>
      <c r="J111" s="66">
        <f>SUM(J101:J107)</f>
        <v>60972</v>
      </c>
    </row>
    <row r="114" spans="1:10" x14ac:dyDescent="0.2">
      <c r="A114" s="58" t="s">
        <v>272</v>
      </c>
      <c r="B114" s="59"/>
      <c r="C114" s="59"/>
      <c r="D114" s="59"/>
      <c r="E114" s="59"/>
      <c r="F114" s="59"/>
      <c r="G114" s="59"/>
      <c r="H114" s="59"/>
      <c r="I114" s="59"/>
      <c r="J114" s="60"/>
    </row>
    <row r="115" spans="1:10" x14ac:dyDescent="0.2">
      <c r="A115" s="11"/>
      <c r="B115" s="11" t="str">
        <f>IF($F$4=0," ","Berekening t.b.v. bijstand in pastoraat. Bedragen in deze rubriek zijn daarom op 0,00 gesteld.")</f>
        <v xml:space="preserve"> </v>
      </c>
      <c r="C115" s="12"/>
      <c r="D115" s="12"/>
      <c r="E115" s="12"/>
      <c r="F115" s="12"/>
      <c r="G115" s="12"/>
      <c r="H115" s="12"/>
      <c r="I115" s="12"/>
      <c r="J115" s="38"/>
    </row>
    <row r="116" spans="1:10" x14ac:dyDescent="0.2">
      <c r="A116" s="11" t="s">
        <v>132</v>
      </c>
      <c r="B116" s="12"/>
      <c r="C116" s="12"/>
      <c r="D116" s="12"/>
      <c r="E116" s="12"/>
      <c r="F116" s="63" t="s">
        <v>273</v>
      </c>
      <c r="G116" s="12"/>
      <c r="H116" s="63" t="s">
        <v>134</v>
      </c>
      <c r="I116" s="240" t="str">
        <f>"Last "&amp;$N$6</f>
        <v>Last 2018</v>
      </c>
      <c r="J116" s="217"/>
    </row>
    <row r="117" spans="1:10" x14ac:dyDescent="0.2">
      <c r="A117" s="11"/>
      <c r="B117" s="12"/>
      <c r="C117" s="12"/>
      <c r="D117" s="12"/>
      <c r="E117" s="12"/>
      <c r="F117" s="12"/>
      <c r="G117" s="12"/>
      <c r="H117" s="12"/>
      <c r="I117" s="11"/>
      <c r="J117" s="38"/>
    </row>
    <row r="118" spans="1:10" x14ac:dyDescent="0.2">
      <c r="A118" s="11" t="s">
        <v>274</v>
      </c>
      <c r="B118" s="12"/>
      <c r="C118" s="12"/>
      <c r="D118" s="12"/>
      <c r="E118" s="12"/>
      <c r="F118" s="63" t="s">
        <v>44</v>
      </c>
      <c r="G118" s="12"/>
      <c r="H118" s="14">
        <f>IF($F$4=1,0,$F$7/12*N24)</f>
        <v>10320</v>
      </c>
      <c r="I118" s="11"/>
      <c r="J118" s="17">
        <f>H118</f>
        <v>10320</v>
      </c>
    </row>
    <row r="119" spans="1:10" x14ac:dyDescent="0.2">
      <c r="A119" s="11"/>
      <c r="B119" s="12"/>
      <c r="C119" s="12"/>
      <c r="D119" s="12"/>
      <c r="E119" s="12"/>
      <c r="F119" s="12"/>
      <c r="G119" s="12"/>
      <c r="H119" s="12"/>
      <c r="I119" s="11"/>
      <c r="J119" s="38"/>
    </row>
    <row r="120" spans="1:10" x14ac:dyDescent="0.2">
      <c r="A120" s="11" t="s">
        <v>275</v>
      </c>
      <c r="B120" s="12"/>
      <c r="C120" s="12"/>
      <c r="D120" s="12"/>
      <c r="E120" s="12"/>
      <c r="F120" s="12"/>
      <c r="G120" s="12"/>
      <c r="H120" s="12"/>
      <c r="I120" s="11"/>
      <c r="J120" s="38"/>
    </row>
    <row r="121" spans="1:10" x14ac:dyDescent="0.2">
      <c r="A121" s="11"/>
      <c r="B121" s="12" t="s">
        <v>276</v>
      </c>
      <c r="C121" s="12"/>
      <c r="D121" s="12"/>
      <c r="E121" s="12"/>
      <c r="F121" s="12"/>
      <c r="G121" s="12"/>
      <c r="H121" s="14">
        <f>IF($F$4=1,0,$F$7/12*N23)</f>
        <v>3996</v>
      </c>
      <c r="I121" s="11"/>
      <c r="J121" s="38"/>
    </row>
    <row r="122" spans="1:10" x14ac:dyDescent="0.2">
      <c r="A122" s="11"/>
      <c r="B122" s="12" t="s">
        <v>139</v>
      </c>
      <c r="C122" s="12"/>
      <c r="D122" s="12"/>
      <c r="E122" s="12"/>
      <c r="F122" s="12"/>
      <c r="G122" s="12" t="s">
        <v>277</v>
      </c>
      <c r="H122" s="32">
        <f>IF($F$4=1,0,12*$F$7/12*F20)</f>
        <v>5748</v>
      </c>
      <c r="I122" s="11"/>
      <c r="J122" s="38"/>
    </row>
    <row r="123" spans="1:10" x14ac:dyDescent="0.2">
      <c r="A123" s="11"/>
      <c r="B123" s="12" t="s">
        <v>278</v>
      </c>
      <c r="C123" s="12"/>
      <c r="D123" s="12"/>
      <c r="E123" s="12"/>
      <c r="F123" s="63" t="s">
        <v>279</v>
      </c>
      <c r="G123" s="12"/>
      <c r="H123" s="14">
        <f>H121+H122</f>
        <v>9744</v>
      </c>
      <c r="I123" s="11"/>
      <c r="J123" s="17">
        <f>H121</f>
        <v>3996</v>
      </c>
    </row>
    <row r="124" spans="1:10" x14ac:dyDescent="0.2">
      <c r="A124" s="11"/>
      <c r="B124" s="12"/>
      <c r="C124" s="12"/>
      <c r="D124" s="12"/>
      <c r="E124" s="12"/>
      <c r="F124" s="12"/>
      <c r="G124" s="12"/>
      <c r="H124" s="12"/>
      <c r="I124" s="11"/>
      <c r="J124" s="38"/>
    </row>
    <row r="125" spans="1:10" x14ac:dyDescent="0.2">
      <c r="A125" s="11" t="s">
        <v>280</v>
      </c>
      <c r="B125" s="12"/>
      <c r="C125" s="12"/>
      <c r="D125" s="12"/>
      <c r="E125" s="12"/>
      <c r="F125" s="12"/>
      <c r="G125" s="12"/>
      <c r="H125" s="12"/>
      <c r="I125" s="11"/>
      <c r="J125" s="38"/>
    </row>
    <row r="126" spans="1:10" x14ac:dyDescent="0.2">
      <c r="A126" s="11"/>
      <c r="B126" s="12" t="str">
        <f>$C$13&amp;" belijdende leden en "&amp;$E$13&amp;" doopleden "</f>
        <v xml:space="preserve">350 belijdende leden en 250 doopleden </v>
      </c>
      <c r="C126" s="12"/>
      <c r="D126" s="12"/>
      <c r="E126" s="12"/>
      <c r="F126" s="63" t="s">
        <v>281</v>
      </c>
      <c r="G126" s="12"/>
      <c r="H126" s="14">
        <f>IF($F$4=1,0,$C$13*N28+$E$13*N29+$G$13*N30)</f>
        <v>6650</v>
      </c>
      <c r="I126" s="72">
        <f>H126</f>
        <v>6650</v>
      </c>
      <c r="J126" s="67"/>
    </row>
    <row r="127" spans="1:10" x14ac:dyDescent="0.2">
      <c r="A127" s="11"/>
      <c r="B127" s="12" t="s">
        <v>142</v>
      </c>
      <c r="C127" s="12"/>
      <c r="D127" s="12"/>
      <c r="E127" s="12"/>
      <c r="F127" s="12"/>
      <c r="G127" s="12"/>
      <c r="H127" s="85" t="s">
        <v>143</v>
      </c>
      <c r="I127" s="73">
        <v>0</v>
      </c>
      <c r="J127" s="70"/>
    </row>
    <row r="128" spans="1:10" x14ac:dyDescent="0.2">
      <c r="A128" s="11"/>
      <c r="B128" s="12" t="s">
        <v>282</v>
      </c>
      <c r="C128" s="12"/>
      <c r="D128" s="12"/>
      <c r="E128" s="12"/>
      <c r="F128" s="12"/>
      <c r="G128" s="12"/>
      <c r="H128" s="14">
        <f>H126</f>
        <v>6650</v>
      </c>
      <c r="I128" s="11"/>
      <c r="J128" s="17">
        <f>I126-I127</f>
        <v>6650</v>
      </c>
    </row>
    <row r="129" spans="1:10" x14ac:dyDescent="0.2">
      <c r="A129" s="11"/>
      <c r="B129" s="12"/>
      <c r="C129" s="12"/>
      <c r="D129" s="12"/>
      <c r="E129" s="12"/>
      <c r="F129" s="12"/>
      <c r="G129" s="21"/>
      <c r="H129" s="14"/>
      <c r="I129" s="11"/>
      <c r="J129" s="17"/>
    </row>
    <row r="130" spans="1:10" x14ac:dyDescent="0.2">
      <c r="A130" s="11" t="s">
        <v>145</v>
      </c>
      <c r="B130" s="12"/>
      <c r="C130" s="12"/>
      <c r="D130" s="12"/>
      <c r="E130" s="12"/>
      <c r="F130" s="12"/>
      <c r="G130" s="12"/>
      <c r="H130" s="14"/>
      <c r="I130" s="11"/>
      <c r="J130" s="17"/>
    </row>
    <row r="131" spans="1:10" x14ac:dyDescent="0.2">
      <c r="A131" s="11"/>
      <c r="B131" s="12" t="str">
        <f>$C$13&amp;" belijdende leden en "&amp;$E$13&amp;" doopleden "</f>
        <v xml:space="preserve">350 belijdende leden en 250 doopleden </v>
      </c>
      <c r="C131" s="12"/>
      <c r="D131" s="12"/>
      <c r="E131" s="12"/>
      <c r="F131" s="63" t="s">
        <v>80</v>
      </c>
      <c r="G131" s="119">
        <f>$C$13*N32+$E$13*N33+$G$13*N34</f>
        <v>900</v>
      </c>
      <c r="H131" s="14"/>
      <c r="I131" s="11"/>
      <c r="J131" s="17"/>
    </row>
    <row r="132" spans="1:10" x14ac:dyDescent="0.2">
      <c r="A132" s="11"/>
      <c r="B132" s="200" t="s">
        <v>147</v>
      </c>
      <c r="C132" s="12"/>
      <c r="D132" s="12"/>
      <c r="E132" s="12"/>
      <c r="F132" s="63"/>
      <c r="G132" s="14"/>
      <c r="H132" s="14"/>
      <c r="I132" s="11"/>
      <c r="J132" s="17"/>
    </row>
    <row r="133" spans="1:10" x14ac:dyDescent="0.2">
      <c r="A133" s="11"/>
      <c r="B133" s="12"/>
      <c r="C133" s="12"/>
      <c r="D133" s="12"/>
      <c r="E133" s="12"/>
      <c r="F133" s="12"/>
      <c r="G133" s="12"/>
      <c r="H133" s="12"/>
      <c r="I133" s="11"/>
      <c r="J133" s="67"/>
    </row>
    <row r="134" spans="1:10" x14ac:dyDescent="0.2">
      <c r="A134" s="64" t="s">
        <v>148</v>
      </c>
      <c r="B134" s="31"/>
      <c r="C134" s="31"/>
      <c r="D134" s="31"/>
      <c r="E134" s="31"/>
      <c r="F134" s="31"/>
      <c r="G134" s="31"/>
      <c r="H134" s="69">
        <f>H118+H123+H128</f>
        <v>26714</v>
      </c>
      <c r="I134" s="30"/>
      <c r="J134" s="66">
        <f>J118+J123+J128</f>
        <v>20966</v>
      </c>
    </row>
    <row r="136" spans="1:10" ht="15.75" x14ac:dyDescent="0.25">
      <c r="A136" s="210" t="s">
        <v>149</v>
      </c>
      <c r="B136" s="211"/>
      <c r="C136" s="211"/>
      <c r="D136" s="211"/>
      <c r="E136" s="211"/>
      <c r="F136" s="211"/>
      <c r="G136" s="211"/>
      <c r="H136" s="211"/>
      <c r="I136" s="83"/>
      <c r="J136" s="84">
        <f>J111+J134</f>
        <v>81938</v>
      </c>
    </row>
    <row r="137" spans="1:10" x14ac:dyDescent="0.2">
      <c r="A137" s="11"/>
      <c r="B137" s="12"/>
      <c r="C137" s="12"/>
      <c r="D137" s="12"/>
      <c r="E137" s="12"/>
      <c r="F137" s="12"/>
      <c r="G137" s="12"/>
      <c r="H137" s="12"/>
      <c r="I137" s="63" t="s">
        <v>150</v>
      </c>
      <c r="J137" s="90" t="s">
        <v>151</v>
      </c>
    </row>
    <row r="138" spans="1:10" x14ac:dyDescent="0.2">
      <c r="A138" s="11" t="s">
        <v>152</v>
      </c>
      <c r="B138" s="12"/>
      <c r="C138" s="12"/>
      <c r="D138" s="12"/>
      <c r="E138" s="12"/>
      <c r="F138" s="12"/>
      <c r="G138" s="12"/>
      <c r="H138" s="12"/>
      <c r="I138" s="13">
        <f>J136/(C13+E13)</f>
        <v>136.56333333333333</v>
      </c>
      <c r="J138" s="91">
        <f>C13+E13</f>
        <v>600</v>
      </c>
    </row>
    <row r="139" spans="1:10" x14ac:dyDescent="0.2">
      <c r="A139" s="30" t="s">
        <v>153</v>
      </c>
      <c r="B139" s="31"/>
      <c r="C139" s="31"/>
      <c r="D139" s="31"/>
      <c r="E139" s="31"/>
      <c r="F139" s="31"/>
      <c r="G139" s="31"/>
      <c r="H139" s="31"/>
      <c r="I139" s="93">
        <f>J136/(C13+0.5*E13)</f>
        <v>172.50105263157894</v>
      </c>
      <c r="J139" s="92">
        <f>C13+0.5*E13</f>
        <v>475</v>
      </c>
    </row>
    <row r="141" spans="1:10" ht="15.75" x14ac:dyDescent="0.25">
      <c r="A141" s="237" t="s">
        <v>154</v>
      </c>
      <c r="B141" s="238"/>
      <c r="C141" s="238"/>
      <c r="D141" s="238"/>
      <c r="E141" s="238"/>
      <c r="F141" s="238"/>
      <c r="G141" s="238"/>
      <c r="H141" s="238"/>
      <c r="I141" s="95"/>
      <c r="J141" s="94"/>
    </row>
    <row r="142" spans="1:10" x14ac:dyDescent="0.2">
      <c r="A142" s="96" t="s">
        <v>155</v>
      </c>
      <c r="B142" s="97"/>
      <c r="C142" s="97"/>
      <c r="D142" s="97"/>
      <c r="E142" s="97"/>
      <c r="F142" s="97"/>
      <c r="G142" s="97"/>
      <c r="H142" s="97"/>
      <c r="I142" s="97"/>
      <c r="J142" s="98"/>
    </row>
    <row r="143" spans="1:10" x14ac:dyDescent="0.2">
      <c r="A143" s="96" t="s">
        <v>156</v>
      </c>
      <c r="B143" s="97"/>
      <c r="C143" s="97"/>
      <c r="D143" s="97"/>
      <c r="E143" s="97"/>
      <c r="F143" s="97"/>
      <c r="G143" s="97"/>
      <c r="H143" s="97"/>
      <c r="I143" s="97"/>
      <c r="J143" s="98"/>
    </row>
    <row r="144" spans="1:10" x14ac:dyDescent="0.2">
      <c r="A144" s="96" t="s">
        <v>157</v>
      </c>
      <c r="B144" s="97"/>
      <c r="C144" s="97"/>
      <c r="D144" s="97"/>
      <c r="E144" s="97"/>
      <c r="F144" s="97"/>
      <c r="G144" s="97"/>
      <c r="H144" s="97"/>
      <c r="I144" s="97"/>
      <c r="J144" s="98"/>
    </row>
    <row r="145" spans="1:10" x14ac:dyDescent="0.2">
      <c r="A145" s="96" t="s">
        <v>283</v>
      </c>
      <c r="B145" s="97"/>
      <c r="C145" s="97"/>
      <c r="D145" s="97"/>
      <c r="E145" s="97"/>
      <c r="F145" s="97"/>
      <c r="G145" s="97"/>
      <c r="H145" s="97"/>
      <c r="I145" s="97"/>
      <c r="J145" s="98"/>
    </row>
    <row r="146" spans="1:10" x14ac:dyDescent="0.2">
      <c r="A146" s="96"/>
      <c r="B146" s="97"/>
      <c r="C146" s="97"/>
      <c r="D146" s="97"/>
      <c r="E146" s="97"/>
      <c r="F146" s="97"/>
      <c r="G146" s="97"/>
      <c r="H146" s="97"/>
      <c r="I146" s="97"/>
      <c r="J146" s="98"/>
    </row>
    <row r="147" spans="1:10" x14ac:dyDescent="0.2">
      <c r="A147" s="96" t="s">
        <v>160</v>
      </c>
      <c r="B147" s="97"/>
      <c r="C147" s="97"/>
      <c r="D147" s="97"/>
      <c r="E147" s="97"/>
      <c r="F147" s="97"/>
      <c r="G147" s="97"/>
      <c r="H147" s="97"/>
      <c r="I147" s="97"/>
      <c r="J147" s="98"/>
    </row>
    <row r="148" spans="1:10" x14ac:dyDescent="0.2">
      <c r="A148" s="117" t="s">
        <v>161</v>
      </c>
      <c r="B148" s="97"/>
      <c r="C148" s="97"/>
      <c r="D148" s="97"/>
      <c r="E148" s="97"/>
      <c r="F148" s="97"/>
      <c r="G148" s="97"/>
      <c r="H148" s="97"/>
      <c r="I148" s="97"/>
      <c r="J148" s="98"/>
    </row>
    <row r="149" spans="1:10" x14ac:dyDescent="0.2">
      <c r="A149" s="96" t="s">
        <v>162</v>
      </c>
      <c r="B149" s="97"/>
      <c r="C149" s="97"/>
      <c r="D149" s="97"/>
      <c r="E149" s="97"/>
      <c r="F149" s="97"/>
      <c r="G149" s="97"/>
      <c r="H149" s="97"/>
      <c r="I149" s="97"/>
      <c r="J149" s="98"/>
    </row>
    <row r="150" spans="1:10" x14ac:dyDescent="0.2">
      <c r="A150" s="11"/>
      <c r="B150" s="12"/>
      <c r="C150" s="12"/>
      <c r="D150" s="12"/>
      <c r="E150" s="12"/>
      <c r="F150" s="12"/>
      <c r="G150" s="12"/>
      <c r="H150" s="12" t="s">
        <v>163</v>
      </c>
      <c r="I150" s="12"/>
      <c r="J150" s="38" t="s">
        <v>164</v>
      </c>
    </row>
    <row r="151" spans="1:10" x14ac:dyDescent="0.2">
      <c r="A151" s="11"/>
      <c r="B151" s="12"/>
      <c r="C151" s="12"/>
      <c r="D151" s="12"/>
      <c r="E151" s="12"/>
      <c r="F151" s="12"/>
      <c r="G151" s="12"/>
      <c r="H151" s="12"/>
      <c r="I151" s="12"/>
      <c r="J151" s="38"/>
    </row>
    <row r="152" spans="1:10" x14ac:dyDescent="0.2">
      <c r="A152" s="52" t="s">
        <v>284</v>
      </c>
      <c r="B152" s="12"/>
      <c r="C152" s="12"/>
      <c r="D152" s="12"/>
      <c r="E152" s="12"/>
      <c r="F152" s="12"/>
      <c r="G152" s="12"/>
      <c r="H152" s="14">
        <f>K30</f>
        <v>3543</v>
      </c>
      <c r="I152" s="14"/>
      <c r="J152" s="17">
        <f>H152*12</f>
        <v>42516</v>
      </c>
    </row>
    <row r="153" spans="1:10" x14ac:dyDescent="0.2">
      <c r="A153" s="52" t="s">
        <v>165</v>
      </c>
      <c r="B153" s="12"/>
      <c r="C153" s="12" t="str">
        <f>"(groep "&amp;F8&amp;", periodiek "&amp;F19&amp;")."</f>
        <v>(groep 1, periodiek 12).</v>
      </c>
      <c r="D153" s="12"/>
      <c r="E153" s="12"/>
      <c r="F153" s="12"/>
      <c r="G153" s="12"/>
      <c r="H153" s="14">
        <f>K93</f>
        <v>984</v>
      </c>
      <c r="I153" s="14"/>
      <c r="J153" s="17">
        <f>H153*12</f>
        <v>11808</v>
      </c>
    </row>
    <row r="154" spans="1:10" x14ac:dyDescent="0.2">
      <c r="A154" s="52" t="s">
        <v>166</v>
      </c>
      <c r="B154" s="12"/>
      <c r="C154" s="12"/>
      <c r="D154" s="12"/>
      <c r="E154" s="12"/>
      <c r="F154" s="12"/>
      <c r="G154" s="12"/>
      <c r="H154" s="14">
        <f>J74</f>
        <v>-479</v>
      </c>
      <c r="I154" s="14"/>
      <c r="J154" s="17">
        <f>H154*12</f>
        <v>-5748</v>
      </c>
    </row>
    <row r="155" spans="1:10" x14ac:dyDescent="0.2">
      <c r="A155" s="11"/>
      <c r="B155" s="12"/>
      <c r="C155" s="12"/>
      <c r="D155" s="99" t="s">
        <v>167</v>
      </c>
      <c r="E155" s="12"/>
      <c r="F155" s="12"/>
      <c r="G155" s="12"/>
      <c r="H155" s="100">
        <f>H152+H153+H154</f>
        <v>4048</v>
      </c>
      <c r="I155" s="14"/>
      <c r="J155" s="17"/>
    </row>
    <row r="156" spans="1:10" x14ac:dyDescent="0.2">
      <c r="A156" s="132" t="s">
        <v>168</v>
      </c>
      <c r="B156" s="12"/>
      <c r="C156" s="12"/>
      <c r="D156" s="12"/>
      <c r="E156" s="12"/>
      <c r="F156" s="12"/>
      <c r="G156" s="12"/>
      <c r="H156" s="14"/>
      <c r="I156" s="14"/>
      <c r="J156" s="17">
        <f>K32*12</f>
        <v>5712</v>
      </c>
    </row>
    <row r="157" spans="1:10" x14ac:dyDescent="0.2">
      <c r="A157" s="11" t="str">
        <f>IF($F$9=1,"Ambtswoning beschikbaar; geen vergoeding aan predikant","Vergoeding wegens gemis ambtswoning volgens tabel 2")</f>
        <v>Ambtswoning beschikbaar; geen vergoeding aan predikant</v>
      </c>
      <c r="B157" s="12"/>
      <c r="C157" s="12"/>
      <c r="D157" s="12"/>
      <c r="E157" s="12"/>
      <c r="F157" s="12"/>
      <c r="G157" s="12"/>
      <c r="H157" s="14">
        <f>IF($F$9=1,0,IF($N$58=2,$F$10,$N$59))</f>
        <v>0</v>
      </c>
      <c r="I157" s="14"/>
      <c r="J157" s="17">
        <f>H157*12</f>
        <v>0</v>
      </c>
    </row>
    <row r="158" spans="1:10" x14ac:dyDescent="0.2">
      <c r="A158" s="11"/>
      <c r="B158" s="12"/>
      <c r="C158" s="12"/>
      <c r="D158" s="12"/>
      <c r="E158" s="12"/>
      <c r="F158" s="12"/>
      <c r="G158" s="12"/>
      <c r="H158" s="14"/>
      <c r="I158" s="14"/>
      <c r="J158" s="17"/>
    </row>
    <row r="159" spans="1:10" x14ac:dyDescent="0.2">
      <c r="A159" s="11"/>
      <c r="D159" s="99" t="s">
        <v>169</v>
      </c>
      <c r="E159" s="12"/>
      <c r="F159" s="12"/>
      <c r="G159" s="12"/>
      <c r="H159" s="14"/>
      <c r="I159" s="14"/>
      <c r="J159" s="101">
        <f>SUM(J152:J157)</f>
        <v>54288</v>
      </c>
    </row>
    <row r="160" spans="1:10" x14ac:dyDescent="0.2">
      <c r="A160" s="11"/>
      <c r="J160" s="17"/>
    </row>
    <row r="161" spans="1:10" x14ac:dyDescent="0.2">
      <c r="A161" s="11" t="s">
        <v>170</v>
      </c>
      <c r="B161" s="12"/>
      <c r="C161" s="12"/>
      <c r="D161" s="12"/>
      <c r="E161" s="12"/>
      <c r="F161" s="12"/>
      <c r="G161" s="12"/>
      <c r="H161" s="14">
        <f>J82</f>
        <v>542</v>
      </c>
      <c r="I161" s="14"/>
      <c r="J161" s="17">
        <f>H161*12</f>
        <v>6504</v>
      </c>
    </row>
    <row r="162" spans="1:10" x14ac:dyDescent="0.2">
      <c r="A162" s="11"/>
      <c r="B162" s="12"/>
      <c r="C162" s="12"/>
      <c r="D162" s="12"/>
      <c r="E162" s="12"/>
      <c r="F162" s="12"/>
      <c r="G162" s="12"/>
      <c r="H162" s="14"/>
      <c r="I162" s="14"/>
      <c r="J162" s="17"/>
    </row>
    <row r="163" spans="1:10" x14ac:dyDescent="0.2">
      <c r="A163" s="49" t="s">
        <v>171</v>
      </c>
      <c r="B163" s="12"/>
      <c r="C163" s="12"/>
      <c r="D163" s="12"/>
      <c r="E163" s="12"/>
      <c r="F163" s="12"/>
      <c r="G163" s="12"/>
      <c r="H163" s="14"/>
      <c r="I163" s="14"/>
      <c r="J163" s="53">
        <f>J159+J161</f>
        <v>60792</v>
      </c>
    </row>
    <row r="164" spans="1:10" x14ac:dyDescent="0.2">
      <c r="A164" s="49"/>
      <c r="B164" s="12"/>
      <c r="C164" s="12"/>
      <c r="D164" s="12"/>
      <c r="E164" s="12"/>
      <c r="F164" s="12"/>
      <c r="G164" s="12"/>
      <c r="H164" s="14"/>
      <c r="I164" s="14"/>
      <c r="J164" s="17"/>
    </row>
    <row r="165" spans="1:10" x14ac:dyDescent="0.2">
      <c r="A165" s="49" t="s">
        <v>172</v>
      </c>
      <c r="B165" s="12"/>
      <c r="C165" s="12"/>
      <c r="D165" s="12"/>
      <c r="E165" s="12"/>
      <c r="F165" s="12"/>
      <c r="G165" s="12"/>
      <c r="H165" s="14"/>
      <c r="I165" s="14"/>
      <c r="J165" s="17"/>
    </row>
    <row r="166" spans="1:10" x14ac:dyDescent="0.2">
      <c r="A166" s="49"/>
      <c r="B166" s="12"/>
      <c r="C166" s="12"/>
      <c r="D166" s="12"/>
      <c r="E166" s="12"/>
      <c r="F166" s="12"/>
      <c r="G166" s="12"/>
      <c r="H166" s="14"/>
      <c r="I166" s="14"/>
      <c r="J166" s="17"/>
    </row>
    <row r="167" spans="1:10" x14ac:dyDescent="0.2">
      <c r="A167" s="49"/>
      <c r="B167" s="12" t="s">
        <v>173</v>
      </c>
      <c r="C167" s="12"/>
      <c r="D167" s="12"/>
      <c r="E167" s="12"/>
      <c r="F167" s="12"/>
      <c r="G167" s="12"/>
      <c r="H167" s="14">
        <f>K46</f>
        <v>0</v>
      </c>
      <c r="I167" s="14"/>
      <c r="J167" s="17">
        <f t="shared" ref="J167:J173" si="0">H167*12</f>
        <v>0</v>
      </c>
    </row>
    <row r="168" spans="1:10" x14ac:dyDescent="0.2">
      <c r="A168" s="49"/>
      <c r="B168" s="12" t="s">
        <v>174</v>
      </c>
      <c r="C168" s="12"/>
      <c r="D168" s="12"/>
      <c r="E168" s="12"/>
      <c r="F168" s="12"/>
      <c r="G168" s="12"/>
      <c r="H168" s="14">
        <f>K51</f>
        <v>190</v>
      </c>
      <c r="I168" s="14"/>
      <c r="J168" s="17">
        <f t="shared" si="0"/>
        <v>2280</v>
      </c>
    </row>
    <row r="169" spans="1:10" x14ac:dyDescent="0.2">
      <c r="A169" s="11"/>
      <c r="B169" s="136" t="s">
        <v>175</v>
      </c>
      <c r="C169" s="12"/>
      <c r="D169" s="12"/>
      <c r="E169" s="12"/>
      <c r="F169" s="12"/>
      <c r="G169" s="12"/>
      <c r="H169" s="14">
        <f>K53</f>
        <v>50</v>
      </c>
      <c r="I169" s="14"/>
      <c r="J169" s="17">
        <f t="shared" si="0"/>
        <v>600</v>
      </c>
    </row>
    <row r="170" spans="1:10" x14ac:dyDescent="0.2">
      <c r="A170" s="11"/>
      <c r="B170" s="12" t="s">
        <v>176</v>
      </c>
      <c r="C170" s="12"/>
      <c r="D170" s="12"/>
      <c r="E170" s="12"/>
      <c r="F170" s="12"/>
      <c r="G170" s="12"/>
      <c r="H170" s="14">
        <f>+J58</f>
        <v>0</v>
      </c>
      <c r="I170" s="14"/>
      <c r="J170" s="17">
        <f t="shared" si="0"/>
        <v>0</v>
      </c>
    </row>
    <row r="171" spans="1:10" x14ac:dyDescent="0.2">
      <c r="A171" s="11"/>
      <c r="B171" s="12" t="s">
        <v>176</v>
      </c>
      <c r="C171" s="12"/>
      <c r="D171" s="12"/>
      <c r="E171" s="12"/>
      <c r="F171" s="12"/>
      <c r="G171" s="12"/>
      <c r="H171" s="14">
        <f>+J59</f>
        <v>0</v>
      </c>
      <c r="I171" s="14"/>
      <c r="J171" s="17">
        <f t="shared" si="0"/>
        <v>0</v>
      </c>
    </row>
    <row r="172" spans="1:10" x14ac:dyDescent="0.2">
      <c r="A172" s="11"/>
      <c r="B172" s="12">
        <f>A60</f>
        <v>0</v>
      </c>
      <c r="C172" s="12"/>
      <c r="D172" s="12"/>
      <c r="E172" s="12"/>
      <c r="F172" s="12"/>
      <c r="G172" s="12"/>
      <c r="H172" s="14">
        <f>+J60</f>
        <v>0</v>
      </c>
      <c r="I172" s="14"/>
      <c r="J172" s="17">
        <f t="shared" si="0"/>
        <v>0</v>
      </c>
    </row>
    <row r="173" spans="1:10" x14ac:dyDescent="0.2">
      <c r="A173" s="11"/>
      <c r="B173" s="12">
        <f>A61</f>
        <v>0</v>
      </c>
      <c r="C173" s="12"/>
      <c r="D173" s="12"/>
      <c r="E173" s="12"/>
      <c r="F173" s="12"/>
      <c r="G173" s="12"/>
      <c r="H173" s="14">
        <f>+J61</f>
        <v>0</v>
      </c>
      <c r="I173" s="14"/>
      <c r="J173" s="17">
        <f t="shared" si="0"/>
        <v>0</v>
      </c>
    </row>
    <row r="174" spans="1:10" x14ac:dyDescent="0.2">
      <c r="A174" s="11"/>
      <c r="B174" s="12"/>
      <c r="C174" s="12"/>
      <c r="D174" s="99" t="s">
        <v>177</v>
      </c>
      <c r="E174" s="12"/>
      <c r="F174" s="12"/>
      <c r="G174" s="12"/>
      <c r="H174" s="14"/>
      <c r="I174" s="14"/>
      <c r="J174" s="101">
        <f>SUM(J167:J173)</f>
        <v>2880</v>
      </c>
    </row>
    <row r="175" spans="1:10" x14ac:dyDescent="0.2">
      <c r="A175" s="11"/>
      <c r="J175" s="17"/>
    </row>
    <row r="176" spans="1:10" x14ac:dyDescent="0.2">
      <c r="A176" s="11"/>
      <c r="B176" s="12"/>
      <c r="C176" s="12"/>
      <c r="D176" s="12"/>
      <c r="E176" s="12"/>
      <c r="F176" s="12"/>
      <c r="G176" s="12"/>
      <c r="H176" s="14"/>
      <c r="I176" s="14"/>
      <c r="J176" s="17"/>
    </row>
    <row r="177" spans="1:10" ht="15.75" x14ac:dyDescent="0.25">
      <c r="A177" s="64" t="s">
        <v>178</v>
      </c>
      <c r="B177" s="31"/>
      <c r="C177" s="31"/>
      <c r="D177" s="31"/>
      <c r="E177" s="31"/>
      <c r="F177" s="31"/>
      <c r="G177" s="31"/>
      <c r="H177" s="32"/>
      <c r="I177" s="32"/>
      <c r="J177" s="102">
        <f>J163+J174</f>
        <v>63672</v>
      </c>
    </row>
  </sheetData>
  <mergeCells count="17">
    <mergeCell ref="A141:H141"/>
    <mergeCell ref="A101:E101"/>
    <mergeCell ref="A107:E107"/>
    <mergeCell ref="A136:H136"/>
    <mergeCell ref="I116:J116"/>
    <mergeCell ref="A104:E104"/>
    <mergeCell ref="A60:E60"/>
    <mergeCell ref="A61:E61"/>
    <mergeCell ref="A106:E106"/>
    <mergeCell ref="I1:K1"/>
    <mergeCell ref="G70:H70"/>
    <mergeCell ref="F6:G6"/>
    <mergeCell ref="F5:K5"/>
    <mergeCell ref="J27:K27"/>
    <mergeCell ref="G27:H27"/>
    <mergeCell ref="J70:K70"/>
    <mergeCell ref="J2:K2"/>
  </mergeCells>
  <phoneticPr fontId="3" type="noConversion"/>
  <dataValidations count="6">
    <dataValidation type="whole" allowBlank="1" showInputMessage="1" showErrorMessage="1" errorTitle="Foute invoer bedrag-vraag" error="Voer een 0 (nul) in bij standaardvergoeding;_x000a_Voer bedrag in bij afwijkende vergoeding. Vergoeding mag niet groter zijn dan maximum bedrag volgens Gen.Regeling." promptTitle="0 of bedrag" prompt="Alleen invullen wanneer GEEN ambtswoning beschikbaar is._x000a__x000a_Voer hier een 0 (nul) in wanneer het maximum bedrag volgens de Generale Regeling moet worden toegepast. _x000a_Voer een bedrag in hele € in, wanneer een lager bedrag van toepassing is." sqref="F10" xr:uid="{00000000-0002-0000-0200-000000000000}">
      <formula1>0</formula1>
      <formula2>N59</formula2>
    </dataValidation>
    <dataValidation type="whole" allowBlank="1" showInputMessage="1" showErrorMessage="1" errorTitle="Onjuiste invoer" error="*FOUT*_x000a_Invoeren: nee = 0_x000a_                 ja    = 1" sqref="I58:I61" xr:uid="{00000000-0002-0000-0200-000001000000}">
      <formula1>0</formula1>
      <formula2>1</formula2>
    </dataValidation>
    <dataValidation type="whole" allowBlank="1" showInputMessage="1" showErrorMessage="1" errorTitle="Foute invoer Ja-Nee vraag" error="Voer een 0 in als het &quot;Nee&quot; is;_x000a_Voer een 1 in als het &quot;Ja&quot; is." sqref="F21" xr:uid="{00000000-0002-0000-0200-000002000000}">
      <formula1>0</formula1>
      <formula2>1</formula2>
    </dataValidation>
    <dataValidation type="whole" allowBlank="1" showInputMessage="1" showErrorMessage="1" errorTitle="Fout Aantal Periodieken" error="Vul een geheel getal in. Minimaal 0, maximaal 15." sqref="F18:F19" xr:uid="{00000000-0002-0000-0200-000003000000}">
      <formula1>0</formula1>
      <formula2>15</formula2>
    </dataValidation>
    <dataValidation type="whole" allowBlank="1" showInputMessage="1" showErrorMessage="1" errorTitle="Foute invoer Categorie Gemeente" error="Onjuiste categorie ingevoerd._x000a_Voer één van de volgende getallen in:_x000a_1  2  3  4" sqref="F8" xr:uid="{00000000-0002-0000-0200-000004000000}">
      <formula1>1</formula1>
      <formula2>4</formula2>
    </dataValidation>
    <dataValidation type="whole" allowBlank="1" showInputMessage="1" showErrorMessage="1" errorTitle="Foute invoer Ja-Nee vraag" error="Voer een 0 (nul) in als het &quot;Nee&quot; is;_x000a_Voer een 1 (een) in als het &quot;Ja&quot; is." sqref="F4 F11 F9" xr:uid="{00000000-0002-0000-0200-000005000000}">
      <formula1>0</formula1>
      <formula2>1</formula2>
    </dataValidation>
  </dataValidations>
  <pageMargins left="0.75" right="0.38" top="1" bottom="0.9" header="0.5" footer="0.5"/>
  <pageSetup paperSize="9" scale="77" fitToHeight="3" orientation="portrait" r:id="rId1"/>
  <headerFooter alignWithMargins="0"/>
  <rowBreaks count="2" manualBreakCount="2">
    <brk id="68" max="10" man="1"/>
    <brk id="14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5e2d06a2-e894-4fc0-9219-8ef4d89372f1">2019</Jaar>
    <Gemeente xmlns="5e2d06a2-e894-4fc0-9219-8ef4d89372f1">Kerkelijk bureau</Gemeente>
    <Tweede_x0020_onderwerp xmlns="cd6d25ef-2f84-4535-96a0-8d68ef2dfb43" xsi:nil="true"/>
    <Derde_x0020_onderwerp xmlns="cd6d25ef-2f84-4535-96a0-8d68ef2dfb43" xsi:nil="true"/>
    <Hoofdonderwerp xmlns="cd6d25ef-2f84-4535-96a0-8d68ef2dfb43">modelbegroting</Hoofdonderwerp>
    <Uitgave xmlns="cd6d25ef-2f84-4535-96a0-8d68ef2dfb43">01</Uitgave>
    <SharedWithUsers xmlns="4867ccec-2b53-4375-a4ca-8980060510b4">
      <UserInfo>
        <DisplayName>Gertjan van de Craats</DisplayName>
        <AccountId>172</AccountId>
        <AccountType/>
      </UserInfo>
      <UserInfo>
        <DisplayName>Martien Janssen</DisplayName>
        <AccountId>27</AccountId>
        <AccountType/>
      </UserInfo>
    </SharedWithUser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1308853F8A64D92D494A8F9CD8705" ma:contentTypeVersion="18" ma:contentTypeDescription="Een nieuw document maken." ma:contentTypeScope="" ma:versionID="5c255bd08eaa1a921822a45e8c91af25">
  <xsd:schema xmlns:xsd="http://www.w3.org/2001/XMLSchema" xmlns:xs="http://www.w3.org/2001/XMLSchema" xmlns:p="http://schemas.microsoft.com/office/2006/metadata/properties" xmlns:ns2="cd6d25ef-2f84-4535-96a0-8d68ef2dfb43" xmlns:ns3="5e2d06a2-e894-4fc0-9219-8ef4d89372f1" xmlns:ns4="4867ccec-2b53-4375-a4ca-8980060510b4" targetNamespace="http://schemas.microsoft.com/office/2006/metadata/properties" ma:root="true" ma:fieldsID="d6ecb94cf9dbf3c414b92e2fea4f2027" ns2:_="" ns3:_="" ns4:_="">
    <xsd:import namespace="cd6d25ef-2f84-4535-96a0-8d68ef2dfb43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3:Jaar" minOccurs="0"/>
                <xsd:element ref="ns2:Uitgave" minOccurs="0"/>
                <xsd:element ref="ns2:Tweede_x0020_onderwerp" minOccurs="0"/>
                <xsd:element ref="ns2:Derde_x0020_onderwerp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25ef-2f84-4535-96a0-8d68ef2dfb43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lgemeen"/>
          <xsd:enumeration value="Brandveiligheid en Arbo"/>
          <xsd:enumeration value="Collecteroosters"/>
          <xsd:enumeration value="Draaginsignes"/>
          <xsd:enumeration value="Energie voor Kerken"/>
          <xsd:enumeration value="Enquete gebouwen"/>
          <xsd:enumeration value="Handboek en onderwerpen"/>
          <xsd:enumeration value="KV-dagen"/>
          <xsd:enumeration value="Leenovereenkomst voorbeeld"/>
          <xsd:enumeration value="model jaarrekening"/>
          <xsd:enumeration value="modelbegroting"/>
          <xsd:enumeration value="NamenAdressenLeveranciers"/>
          <xsd:enumeration value="Nieuwsbrieven"/>
          <xsd:enumeration value="Overleg kerkelijk bureaus"/>
          <xsd:enumeration value="Reglementen"/>
          <xsd:enumeration value="SEPA"/>
          <xsd:enumeration value="Verzekeringen"/>
          <xsd:enumeration value="Website"/>
          <xsd:enumeration value="KvK gemeenten"/>
        </xsd:restriction>
      </xsd:simpleType>
    </xsd:element>
    <xsd:element name="Uitgave" ma:index="4" nillable="true" ma:displayName="Uitgave" ma:default="01" ma:description="Uitgave van het betreffende jaar" ma:format="Dropdown" ma:internalName="Uitgave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</xsd:restriction>
      </xsd:simpleType>
    </xsd:element>
    <xsd:element name="Tweede_x0020_onderwerp" ma:index="5" nillable="true" ma:displayName="Tweede onderwerp" ma:format="Dropdown" ma:internalName="Tweede_x0020_onderwerp">
      <xsd:simpleType>
        <xsd:restriction base="dms:Choice">
          <xsd:enumeration value="Nieuw"/>
          <xsd:enumeration value="-2016"/>
          <xsd:enumeration value="27-1-2015"/>
          <xsd:enumeration value="7-2-2016"/>
          <xsd:enumeration value="Belastingrecht_gebouwen_levering_huurverhuur"/>
          <xsd:enumeration value="Bestellingen"/>
          <xsd:enumeration value="bijdrage landelijk kerkenwerk"/>
          <xsd:enumeration value="Brochure en bijlagen"/>
          <xsd:enumeration value="Brochures"/>
          <xsd:enumeration value="Concepten en oude regelingen"/>
          <xsd:enumeration value="Geschillenregeling"/>
          <xsd:enumeration value="INmail20080807_(pers)bericht over nieuwe periode energiecontract en korte tekst voor kerkelijke bladen_bestanden"/>
          <xsd:enumeration value="Jaarrekening overig"/>
          <xsd:enumeration value="kascontrole"/>
          <xsd:enumeration value="Kerkelijke Bijdrage - Gemeente 2"/>
          <xsd:enumeration value="Kerkelijke Bijdrage - Gemeente 3"/>
          <xsd:enumeration value="Kerkelijke Bijdrage - Gemeente 4"/>
          <xsd:enumeration value="Kerkelijke Bijdrage - Gemeente A"/>
          <xsd:enumeration value="Kerkelijke Bijdrage - Gemeente B"/>
          <xsd:enumeration value="Kerkelijke Bijdrage - Gemeente C"/>
          <xsd:enumeration value="Kerkelijke Bijdrage - Gemeente D"/>
          <xsd:enumeration value="Kerkvoogd"/>
          <xsd:enumeration value="Nieuwsbrieven 1 tmt 8"/>
          <xsd:enumeration value="Nieuwsbrieven andere kerken"/>
          <xsd:enumeration value="Notulen 15 mei 2004 dispensatie verplichting ouderling - kerkvoogd_bestanden"/>
          <xsd:enumeration value="ordinantie 16 lezen 1 september 2012"/>
          <xsd:enumeration value="Oud"/>
          <xsd:enumeration value="Redactievergadering"/>
          <xsd:enumeration value="web"/>
        </xsd:restriction>
      </xsd:simpleType>
    </xsd:element>
    <xsd:element name="Derde_x0020_onderwerp" ma:index="6" nillable="true" ma:displayName="Derde onderwerp" ma:format="Dropdown" ma:internalName="Derde_x0020_onderwerp">
      <xsd:simpleType>
        <xsd:restriction base="dms:Choice">
          <xsd:enumeration value="Administratief"/>
          <xsd:enumeration value="Draaginsignes"/>
          <xsd:enumeration value="Financien en verzekeringen"/>
          <xsd:enumeration value="foto's"/>
          <xsd:enumeration value="Gebouwen"/>
          <xsd:enumeration value="Geldwerving"/>
          <xsd:enumeration value="Kerkelijk werkers"/>
          <xsd:enumeration value="Middelharnis - Sommelsdijk"/>
          <xsd:enumeration value="Opheusden"/>
          <xsd:enumeration value="Organisatie"/>
          <xsd:enumeration value="Predikanten"/>
          <xsd:enumeration value="Vrijwilliger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format="Dropdown" ma:internalName="Jaar">
      <xsd:simpleType>
        <xsd:restriction base="dms:Choice"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Gemeente" ma:index="7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CC94C-AA97-4F48-8B1E-57BC81E49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AE8A4-0BF2-450B-B578-2E02D2FB48E5}">
  <ds:schemaRefs>
    <ds:schemaRef ds:uri="cd6d25ef-2f84-4535-96a0-8d68ef2dfb43"/>
    <ds:schemaRef ds:uri="5e2d06a2-e894-4fc0-9219-8ef4d89372f1"/>
    <ds:schemaRef ds:uri="http://schemas.microsoft.com/office/2006/metadata/properties"/>
    <ds:schemaRef ds:uri="http://schemas.microsoft.com/office/2006/documentManagement/types"/>
    <ds:schemaRef ds:uri="http://purl.org/dc/terms/"/>
    <ds:schemaRef ds:uri="4867ccec-2b53-4375-a4ca-8980060510b4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0FF3E7-29D1-41B3-819D-133119725CB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752F65C-3F18-4F2F-8E14-CF32ECE56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d25ef-2f84-4535-96a0-8d68ef2dfb43"/>
    <ds:schemaRef ds:uri="5e2d06a2-e894-4fc0-9219-8ef4d89372f1"/>
    <ds:schemaRef ds:uri="4867ccec-2b53-4375-a4ca-89800605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Blad3</vt:lpstr>
      <vt:lpstr>Blad2</vt:lpstr>
      <vt:lpstr>Blad1</vt:lpstr>
      <vt:lpstr>Blad1!Afdrukbereik</vt:lpstr>
      <vt:lpstr>Blad3!Afdrukbereik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Kerkelijk bureau Hersteld Hervormde Kerk</dc:creator>
  <cp:keywords/>
  <dc:description/>
  <cp:lastModifiedBy>Gertjan van de Craats</cp:lastModifiedBy>
  <cp:revision/>
  <dcterms:created xsi:type="dcterms:W3CDTF">2005-06-15T11:07:32Z</dcterms:created>
  <dcterms:modified xsi:type="dcterms:W3CDTF">2021-03-03T09:18:43Z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Datamigratie Office365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Datamigratie Office365</vt:lpwstr>
  </property>
  <property fmtid="{D5CDD505-2E9C-101B-9397-08002B2CF9AE}" pid="5" name="AuthorIds_UIVersion_1536">
    <vt:lpwstr>27</vt:lpwstr>
  </property>
  <property fmtid="{D5CDD505-2E9C-101B-9397-08002B2CF9AE}" pid="6" name="ContentTypeId">
    <vt:lpwstr>0x01010003E1308853F8A64D92D494A8F9CD8705</vt:lpwstr>
  </property>
</Properties>
</file>